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odcaird/Documents/Folders/Helmingham/Helmingham Audit 2017:18/"/>
    </mc:Choice>
  </mc:AlternateContent>
  <bookViews>
    <workbookView xWindow="1800" yWindow="1840" windowWidth="16980" windowHeight="11840"/>
  </bookViews>
  <sheets>
    <sheet name="Budget 2017-18" sheetId="1" r:id="rId1"/>
    <sheet name="Helmingham Tax Base &amp; Grant" sheetId="10" r:id="rId2"/>
    <sheet name="Accounts 2009-10" sheetId="2" r:id="rId3"/>
    <sheet name="Accounts 2010-11" sheetId="3" r:id="rId4"/>
    <sheet name="Accounts 2011-12" sheetId="6" r:id="rId5"/>
    <sheet name="Accounts 2012-13" sheetId="5" r:id="rId6"/>
    <sheet name="Accounts 2013-14" sheetId="7" r:id="rId7"/>
    <sheet name="Accounts 2014-15" sheetId="8" r:id="rId8"/>
    <sheet name="Accounts 2015-16" sheetId="9" r:id="rId9"/>
  </sheets>
  <externalReferences>
    <externalReference r:id="rId10"/>
  </externalReferences>
  <definedNames>
    <definedName name="_xlnm.Print_Area" localSheetId="0">'Budget 2017-18'!$B$1:$Z$27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3" i="1" l="1"/>
  <c r="X8" i="1"/>
  <c r="U9" i="1"/>
  <c r="W9" i="1"/>
  <c r="X9" i="1"/>
  <c r="X10" i="1"/>
  <c r="X11" i="1"/>
  <c r="X13" i="1"/>
  <c r="X14" i="1"/>
  <c r="X15" i="1"/>
  <c r="X16" i="1"/>
  <c r="X18" i="1"/>
  <c r="T19" i="1"/>
  <c r="U19" i="1"/>
  <c r="W19" i="1"/>
  <c r="X19" i="1"/>
  <c r="X23" i="1"/>
  <c r="P67" i="1"/>
  <c r="T67" i="1"/>
  <c r="T77" i="1"/>
  <c r="W39" i="1"/>
  <c r="T66" i="1"/>
  <c r="T68" i="1"/>
  <c r="S51" i="1"/>
  <c r="T51" i="1"/>
  <c r="T52" i="1"/>
  <c r="T62" i="1"/>
  <c r="T63" i="1"/>
  <c r="T64" i="1"/>
  <c r="AU20" i="1"/>
  <c r="AU18" i="1"/>
  <c r="AU15" i="1"/>
  <c r="AU14" i="1"/>
  <c r="AU13" i="1"/>
  <c r="AU10" i="1"/>
  <c r="AU11" i="1"/>
  <c r="AU8" i="1"/>
  <c r="W12" i="1"/>
  <c r="AY20" i="1"/>
  <c r="AY21" i="1"/>
  <c r="S67" i="1"/>
  <c r="S77" i="1"/>
  <c r="O67" i="1"/>
  <c r="Q77" i="1"/>
  <c r="P77" i="1"/>
  <c r="R67" i="1"/>
  <c r="R77" i="1"/>
  <c r="P62" i="1"/>
  <c r="Q51" i="1"/>
  <c r="Q52" i="1"/>
  <c r="Q53" i="1"/>
  <c r="P51" i="1"/>
  <c r="P52" i="1"/>
  <c r="O63" i="1"/>
  <c r="O74" i="1"/>
  <c r="Q39" i="1"/>
  <c r="O66" i="1"/>
  <c r="P39" i="1"/>
  <c r="P53" i="1"/>
  <c r="O62" i="1"/>
  <c r="R23" i="1"/>
  <c r="S14" i="1"/>
  <c r="U10" i="1"/>
  <c r="Q12" i="1"/>
  <c r="Q23" i="1"/>
  <c r="O69" i="1"/>
  <c r="P23" i="1"/>
  <c r="R26" i="1"/>
  <c r="Q24" i="1"/>
  <c r="N67" i="1"/>
  <c r="K67" i="1"/>
  <c r="O51" i="1"/>
  <c r="O52" i="1"/>
  <c r="N51" i="1"/>
  <c r="N52" i="1"/>
  <c r="N63" i="1"/>
  <c r="N74" i="1"/>
  <c r="O53" i="1"/>
  <c r="N39" i="1"/>
  <c r="O39" i="1"/>
  <c r="N66" i="1"/>
  <c r="U13" i="1"/>
  <c r="U15" i="1"/>
  <c r="U20" i="1"/>
  <c r="U21" i="1"/>
  <c r="U14" i="1"/>
  <c r="N53" i="1"/>
  <c r="N62" i="1"/>
  <c r="O23" i="1"/>
  <c r="M45" i="8"/>
  <c r="M58" i="8"/>
  <c r="L45" i="8"/>
  <c r="L57" i="8"/>
  <c r="T51" i="8"/>
  <c r="E50" i="8"/>
  <c r="J49" i="8"/>
  <c r="F49" i="8"/>
  <c r="J47" i="8"/>
  <c r="R45" i="8"/>
  <c r="R57" i="8"/>
  <c r="Q45" i="8"/>
  <c r="Q60" i="8"/>
  <c r="P45" i="8"/>
  <c r="P63" i="8"/>
  <c r="O45" i="8"/>
  <c r="O63" i="8"/>
  <c r="N45" i="8"/>
  <c r="N59" i="8"/>
  <c r="K45" i="8"/>
  <c r="K56" i="8"/>
  <c r="S56" i="8"/>
  <c r="J45" i="8"/>
  <c r="J62" i="8"/>
  <c r="I45" i="8"/>
  <c r="I54" i="8"/>
  <c r="S54" i="8"/>
  <c r="H45" i="8"/>
  <c r="G45" i="8"/>
  <c r="G53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45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R7" i="8"/>
  <c r="Q7" i="8"/>
  <c r="P7" i="8"/>
  <c r="O7" i="8"/>
  <c r="L7" i="8"/>
  <c r="K7" i="8"/>
  <c r="J7" i="8"/>
  <c r="N6" i="8"/>
  <c r="N7" i="8"/>
  <c r="M6" i="8"/>
  <c r="M7" i="8"/>
  <c r="G6" i="8"/>
  <c r="N69" i="1"/>
  <c r="Q27" i="1"/>
  <c r="X27" i="8"/>
  <c r="T28" i="8"/>
  <c r="T29" i="8"/>
  <c r="T30" i="8"/>
  <c r="T31" i="8"/>
  <c r="S62" i="8"/>
  <c r="W62" i="8"/>
  <c r="S7" i="8"/>
  <c r="S53" i="8"/>
  <c r="T55" i="8"/>
  <c r="G65" i="8"/>
  <c r="X56" i="8"/>
  <c r="Y56" i="8"/>
  <c r="W56" i="8"/>
  <c r="K65" i="8"/>
  <c r="T45" i="8"/>
  <c r="U66" i="8"/>
  <c r="T47" i="8"/>
  <c r="S6" i="8"/>
  <c r="T64" i="8"/>
  <c r="W64" i="8"/>
  <c r="T32" i="8"/>
  <c r="X31" i="8"/>
  <c r="X32" i="8"/>
  <c r="T33" i="8"/>
  <c r="T34" i="8"/>
  <c r="T35" i="8"/>
  <c r="T36" i="8"/>
  <c r="T37" i="8"/>
  <c r="T38" i="8"/>
  <c r="T39" i="8"/>
  <c r="T40" i="8"/>
  <c r="T41" i="8"/>
  <c r="T42" i="8"/>
  <c r="T43" i="8"/>
  <c r="T66" i="8"/>
  <c r="N23" i="1"/>
  <c r="Q36" i="9"/>
  <c r="Q47" i="9"/>
  <c r="O36" i="9"/>
  <c r="O47" i="9"/>
  <c r="K36" i="9"/>
  <c r="K46" i="9"/>
  <c r="S46" i="9"/>
  <c r="T41" i="9"/>
  <c r="J40" i="9"/>
  <c r="J38" i="9"/>
  <c r="R36" i="9"/>
  <c r="R47" i="9"/>
  <c r="P36" i="9"/>
  <c r="P47" i="9"/>
  <c r="N36" i="9"/>
  <c r="N47" i="9"/>
  <c r="J36" i="9"/>
  <c r="J47" i="9"/>
  <c r="I36" i="9"/>
  <c r="I44" i="9"/>
  <c r="S44" i="9"/>
  <c r="H36" i="9"/>
  <c r="G36" i="9"/>
  <c r="G43" i="9"/>
  <c r="S43" i="9"/>
  <c r="T45" i="9"/>
  <c r="S34" i="9"/>
  <c r="S33" i="9"/>
  <c r="S32" i="9"/>
  <c r="L31" i="9"/>
  <c r="L36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M16" i="9"/>
  <c r="S16" i="9"/>
  <c r="M36" i="9"/>
  <c r="S15" i="9"/>
  <c r="X15" i="9"/>
  <c r="S14" i="9"/>
  <c r="S13" i="9"/>
  <c r="S12" i="9"/>
  <c r="S11" i="9"/>
  <c r="S10" i="9"/>
  <c r="S9" i="9"/>
  <c r="S8" i="9"/>
  <c r="T8" i="9"/>
  <c r="T9" i="9"/>
  <c r="T10" i="9"/>
  <c r="T11" i="9"/>
  <c r="T12" i="9"/>
  <c r="T13" i="9"/>
  <c r="T14" i="9"/>
  <c r="T15" i="9"/>
  <c r="T16" i="9"/>
  <c r="T17" i="9"/>
  <c r="R7" i="9"/>
  <c r="Q7" i="9"/>
  <c r="P7" i="9"/>
  <c r="O7" i="9"/>
  <c r="K7" i="9"/>
  <c r="J7" i="9"/>
  <c r="N6" i="9"/>
  <c r="N7" i="9"/>
  <c r="M6" i="9"/>
  <c r="P26" i="1"/>
  <c r="O24" i="1"/>
  <c r="O25" i="1"/>
  <c r="M7" i="9"/>
  <c r="M47" i="9"/>
  <c r="L7" i="9"/>
  <c r="L47" i="9"/>
  <c r="S47" i="9"/>
  <c r="T48" i="9"/>
  <c r="W17" i="9"/>
  <c r="T18" i="9"/>
  <c r="S7" i="9"/>
  <c r="S31" i="9"/>
  <c r="S36" i="9"/>
  <c r="S6" i="9"/>
  <c r="T52" i="9"/>
  <c r="T50" i="9"/>
  <c r="W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6" i="9"/>
  <c r="U50" i="9"/>
  <c r="T38" i="9"/>
  <c r="W31" i="9"/>
  <c r="T32" i="9"/>
  <c r="T33" i="9"/>
  <c r="T34" i="9"/>
  <c r="W32" i="9"/>
  <c r="R51" i="1"/>
  <c r="P63" i="1"/>
  <c r="P64" i="1"/>
  <c r="L53" i="1"/>
  <c r="K52" i="1"/>
  <c r="L51" i="1"/>
  <c r="K51" i="1"/>
  <c r="K53" i="1"/>
  <c r="K62" i="1"/>
  <c r="O64" i="1"/>
  <c r="O77" i="1"/>
  <c r="R39" i="1"/>
  <c r="L39" i="1"/>
  <c r="K66" i="1"/>
  <c r="K39" i="1"/>
  <c r="AY17" i="1"/>
  <c r="L23" i="1"/>
  <c r="K23" i="1"/>
  <c r="N26" i="1"/>
  <c r="R57" i="7"/>
  <c r="Q57" i="7"/>
  <c r="P57" i="7"/>
  <c r="O57" i="7"/>
  <c r="N57" i="7"/>
  <c r="M57" i="7"/>
  <c r="L57" i="7"/>
  <c r="K57" i="7"/>
  <c r="J57" i="7"/>
  <c r="R56" i="7"/>
  <c r="R58" i="7"/>
  <c r="Q56" i="7"/>
  <c r="Q58" i="7"/>
  <c r="P56" i="7"/>
  <c r="P58" i="7"/>
  <c r="O56" i="7"/>
  <c r="O58" i="7"/>
  <c r="N56" i="7"/>
  <c r="N58" i="7"/>
  <c r="M56" i="7"/>
  <c r="M58" i="7"/>
  <c r="L56" i="7"/>
  <c r="L58" i="7"/>
  <c r="K56" i="7"/>
  <c r="K58" i="7"/>
  <c r="J56" i="7"/>
  <c r="J58" i="7"/>
  <c r="R40" i="7"/>
  <c r="R51" i="7"/>
  <c r="P40" i="7"/>
  <c r="P51" i="7"/>
  <c r="N40" i="7"/>
  <c r="N51" i="7"/>
  <c r="L40" i="7"/>
  <c r="L51" i="7"/>
  <c r="G47" i="7"/>
  <c r="S47" i="7"/>
  <c r="T45" i="7"/>
  <c r="J44" i="7"/>
  <c r="J42" i="7"/>
  <c r="Q40" i="7"/>
  <c r="Q51" i="7"/>
  <c r="O40" i="7"/>
  <c r="O51" i="7"/>
  <c r="M40" i="7"/>
  <c r="M51" i="7"/>
  <c r="K40" i="7"/>
  <c r="K50" i="7"/>
  <c r="S50" i="7"/>
  <c r="J40" i="7"/>
  <c r="J51" i="7"/>
  <c r="I40" i="7"/>
  <c r="I48" i="7"/>
  <c r="H40" i="7"/>
  <c r="G7" i="7"/>
  <c r="G40" i="7"/>
  <c r="G48" i="7"/>
  <c r="S48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42" i="7"/>
  <c r="S21" i="7"/>
  <c r="S20" i="7"/>
  <c r="S19" i="7"/>
  <c r="S57" i="7"/>
  <c r="S18" i="7"/>
  <c r="S17" i="7"/>
  <c r="S16" i="7"/>
  <c r="S15" i="7"/>
  <c r="S14" i="7"/>
  <c r="S13" i="7"/>
  <c r="S12" i="7"/>
  <c r="S11" i="7"/>
  <c r="S10" i="7"/>
  <c r="S9" i="7"/>
  <c r="S8" i="7"/>
  <c r="S40" i="7"/>
  <c r="S7" i="7"/>
  <c r="S6" i="7"/>
  <c r="S56" i="7"/>
  <c r="S58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R5" i="7"/>
  <c r="Q5" i="7"/>
  <c r="P5" i="7"/>
  <c r="O5" i="7"/>
  <c r="N5" i="7"/>
  <c r="M5" i="7"/>
  <c r="L5" i="7"/>
  <c r="K5" i="7"/>
  <c r="J5" i="7"/>
  <c r="S5" i="7"/>
  <c r="I5" i="7"/>
  <c r="H5" i="7"/>
  <c r="G5" i="7"/>
  <c r="S4" i="7"/>
  <c r="K69" i="1"/>
  <c r="O27" i="1"/>
  <c r="L24" i="1"/>
  <c r="L25" i="1"/>
  <c r="S51" i="7"/>
  <c r="T52" i="7"/>
  <c r="T49" i="7"/>
  <c r="T54" i="7"/>
  <c r="T42" i="7"/>
  <c r="T40" i="7"/>
  <c r="U54" i="7"/>
  <c r="N46" i="6"/>
  <c r="F46" i="6"/>
  <c r="H8" i="1"/>
  <c r="M47" i="6"/>
  <c r="R47" i="6"/>
  <c r="F47" i="6"/>
  <c r="H9" i="1"/>
  <c r="J48" i="6"/>
  <c r="F48" i="6"/>
  <c r="H10" i="1"/>
  <c r="O49" i="6"/>
  <c r="F49" i="6"/>
  <c r="H11" i="1"/>
  <c r="M50" i="6"/>
  <c r="R50" i="6"/>
  <c r="F50" i="6"/>
  <c r="H12" i="1"/>
  <c r="K33" i="6"/>
  <c r="K51" i="6"/>
  <c r="F51" i="6"/>
  <c r="H13" i="1"/>
  <c r="L33" i="6"/>
  <c r="L52" i="6"/>
  <c r="R52" i="6"/>
  <c r="F52" i="6"/>
  <c r="H14" i="1"/>
  <c r="N53" i="6"/>
  <c r="F53" i="6"/>
  <c r="H15" i="1"/>
  <c r="N54" i="6"/>
  <c r="F54" i="6"/>
  <c r="H16" i="1"/>
  <c r="M55" i="6"/>
  <c r="F55" i="6"/>
  <c r="H17" i="1"/>
  <c r="F56" i="6"/>
  <c r="H18" i="1"/>
  <c r="M58" i="6"/>
  <c r="F58" i="6"/>
  <c r="H19" i="1"/>
  <c r="G23" i="1"/>
  <c r="H23" i="1"/>
  <c r="H24" i="1"/>
  <c r="BB18" i="1"/>
  <c r="BB23" i="1"/>
  <c r="AX14" i="1"/>
  <c r="AX23" i="1"/>
  <c r="AW13" i="1"/>
  <c r="AW23" i="1"/>
  <c r="AY12" i="1"/>
  <c r="BA11" i="1"/>
  <c r="BA23" i="1"/>
  <c r="AV10" i="1"/>
  <c r="AV23" i="1"/>
  <c r="H25" i="1"/>
  <c r="R16" i="3"/>
  <c r="F8" i="1"/>
  <c r="R15" i="3"/>
  <c r="Q18" i="3"/>
  <c r="R18" i="3"/>
  <c r="F9" i="1"/>
  <c r="I35" i="3"/>
  <c r="F10" i="1"/>
  <c r="N35" i="3"/>
  <c r="F11" i="1"/>
  <c r="E12" i="1"/>
  <c r="R22" i="3"/>
  <c r="F12" i="1"/>
  <c r="J35" i="3"/>
  <c r="F13" i="1"/>
  <c r="K7" i="3"/>
  <c r="K21" i="3"/>
  <c r="Q21" i="3"/>
  <c r="F14" i="1"/>
  <c r="R9" i="3"/>
  <c r="R23" i="3"/>
  <c r="F15" i="1"/>
  <c r="R10" i="3"/>
  <c r="F16" i="1"/>
  <c r="E17" i="1"/>
  <c r="E39" i="1"/>
  <c r="F39" i="1"/>
  <c r="E66" i="1"/>
  <c r="E51" i="1"/>
  <c r="F51" i="1"/>
  <c r="R5" i="3"/>
  <c r="S5" i="3"/>
  <c r="R6" i="3"/>
  <c r="S6" i="3"/>
  <c r="R7" i="3"/>
  <c r="S7" i="3"/>
  <c r="S8" i="3"/>
  <c r="S9" i="3"/>
  <c r="S10" i="3"/>
  <c r="R11" i="3"/>
  <c r="S11" i="3"/>
  <c r="R12" i="3"/>
  <c r="S12" i="3"/>
  <c r="R13" i="3"/>
  <c r="S13" i="3"/>
  <c r="S14" i="3"/>
  <c r="S15" i="3"/>
  <c r="S16" i="3"/>
  <c r="Q17" i="3"/>
  <c r="R17" i="3"/>
  <c r="S17" i="3"/>
  <c r="S18" i="3"/>
  <c r="R19" i="3"/>
  <c r="S19" i="3"/>
  <c r="S20" i="3"/>
  <c r="S21" i="3"/>
  <c r="S22" i="3"/>
  <c r="S23" i="3"/>
  <c r="F52" i="1"/>
  <c r="F53" i="1"/>
  <c r="E53" i="1"/>
  <c r="E62" i="1"/>
  <c r="E64" i="1"/>
  <c r="E67" i="1"/>
  <c r="E74" i="1"/>
  <c r="N77" i="1"/>
  <c r="J53" i="1"/>
  <c r="J51" i="1"/>
  <c r="Q66" i="1"/>
  <c r="AB37" i="1"/>
  <c r="R66" i="1"/>
  <c r="Q68" i="1"/>
  <c r="E68" i="1"/>
  <c r="E23" i="1"/>
  <c r="F23" i="1"/>
  <c r="H27" i="1"/>
  <c r="S66" i="1"/>
  <c r="R53" i="1"/>
  <c r="N68" i="1"/>
  <c r="N73" i="1"/>
  <c r="N70" i="1"/>
  <c r="E26" i="1"/>
  <c r="G26" i="1"/>
  <c r="F25" i="1"/>
  <c r="S68" i="1"/>
  <c r="F27" i="1"/>
  <c r="E69" i="1"/>
  <c r="E73" i="1"/>
  <c r="E75" i="1"/>
  <c r="F24" i="1"/>
  <c r="R68" i="1"/>
  <c r="E76" i="1"/>
  <c r="T39" i="1"/>
  <c r="S39" i="1"/>
  <c r="P66" i="1"/>
  <c r="P68" i="1"/>
  <c r="U38" i="1"/>
  <c r="J39" i="1"/>
  <c r="H66" i="1"/>
  <c r="J23" i="1"/>
  <c r="H69" i="1"/>
  <c r="T50" i="5"/>
  <c r="AH50" i="5"/>
  <c r="T36" i="5"/>
  <c r="J35" i="5"/>
  <c r="J34" i="5"/>
  <c r="R31" i="5"/>
  <c r="R42" i="5"/>
  <c r="Q31" i="5"/>
  <c r="Q42" i="5"/>
  <c r="P31" i="5"/>
  <c r="P42" i="5"/>
  <c r="O31" i="5"/>
  <c r="O42" i="5"/>
  <c r="N31" i="5"/>
  <c r="N42" i="5"/>
  <c r="M31" i="5"/>
  <c r="M42" i="5"/>
  <c r="L31" i="5"/>
  <c r="L42" i="5"/>
  <c r="J31" i="5"/>
  <c r="J42" i="5"/>
  <c r="S42" i="5"/>
  <c r="AH42" i="5"/>
  <c r="I31" i="5"/>
  <c r="I39" i="5"/>
  <c r="S39" i="5"/>
  <c r="AH39" i="5"/>
  <c r="H31" i="5"/>
  <c r="Z28" i="5"/>
  <c r="Z27" i="5"/>
  <c r="Z26" i="5"/>
  <c r="S25" i="5"/>
  <c r="S24" i="5"/>
  <c r="S23" i="5"/>
  <c r="K22" i="5"/>
  <c r="K31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G7" i="5"/>
  <c r="G31" i="5"/>
  <c r="G38" i="5"/>
  <c r="S38" i="5"/>
  <c r="Y6" i="5"/>
  <c r="S6" i="5"/>
  <c r="T6" i="5"/>
  <c r="Y7" i="5"/>
  <c r="R5" i="5"/>
  <c r="Q5" i="5"/>
  <c r="P5" i="5"/>
  <c r="O5" i="5"/>
  <c r="M4" i="5"/>
  <c r="M5" i="5"/>
  <c r="L5" i="5"/>
  <c r="J5" i="5"/>
  <c r="AH4" i="5"/>
  <c r="N4" i="5"/>
  <c r="N5" i="5"/>
  <c r="S4" i="5"/>
  <c r="T40" i="5"/>
  <c r="AH38" i="5"/>
  <c r="S22" i="5"/>
  <c r="S31" i="5"/>
  <c r="K41" i="5"/>
  <c r="S41" i="5"/>
  <c r="K5" i="5"/>
  <c r="S5" i="5"/>
  <c r="T7" i="5"/>
  <c r="Z6" i="5"/>
  <c r="AH36" i="5"/>
  <c r="Z7" i="5"/>
  <c r="Y8" i="5"/>
  <c r="T8" i="5"/>
  <c r="T31" i="5"/>
  <c r="T33" i="5"/>
  <c r="AH41" i="5"/>
  <c r="T43" i="5"/>
  <c r="T45" i="5"/>
  <c r="AH45" i="5"/>
  <c r="U45" i="5"/>
  <c r="AH31" i="5"/>
  <c r="Z8" i="5"/>
  <c r="Y9" i="5"/>
  <c r="T9" i="5"/>
  <c r="Z9" i="5"/>
  <c r="Y10" i="5"/>
  <c r="T10" i="5"/>
  <c r="Z10" i="5"/>
  <c r="Y11" i="5"/>
  <c r="T11" i="5"/>
  <c r="T12" i="5"/>
  <c r="Y12" i="5"/>
  <c r="T13" i="5"/>
  <c r="Z12" i="5"/>
  <c r="Y13" i="5"/>
  <c r="T14" i="5"/>
  <c r="Z13" i="5"/>
  <c r="Y14" i="5"/>
  <c r="T15" i="5"/>
  <c r="Z14" i="5"/>
  <c r="Y15" i="5"/>
  <c r="T16" i="5"/>
  <c r="Z15" i="5"/>
  <c r="Y16" i="5"/>
  <c r="Y17" i="5"/>
  <c r="T17" i="5"/>
  <c r="Y18" i="5"/>
  <c r="T18" i="5"/>
  <c r="Z17" i="5"/>
  <c r="Y19" i="5"/>
  <c r="T19" i="5"/>
  <c r="Z18" i="5"/>
  <c r="Y20" i="5"/>
  <c r="T20" i="5"/>
  <c r="Z19" i="5"/>
  <c r="Y21" i="5"/>
  <c r="T21" i="5"/>
  <c r="Y22" i="5"/>
  <c r="T22" i="5"/>
  <c r="Z22" i="5"/>
  <c r="Y23" i="5"/>
  <c r="T23" i="5"/>
  <c r="Y24" i="5"/>
  <c r="T24" i="5"/>
  <c r="Z24" i="5"/>
  <c r="Y25" i="5"/>
  <c r="T25" i="5"/>
  <c r="Z25" i="5"/>
  <c r="H74" i="1"/>
  <c r="AS74" i="1"/>
  <c r="AS51" i="1"/>
  <c r="AS17" i="1"/>
  <c r="AS14" i="1"/>
  <c r="AL72" i="1"/>
  <c r="AM64" i="1"/>
  <c r="AN64" i="1"/>
  <c r="AO64" i="1"/>
  <c r="AL64" i="1"/>
  <c r="G33" i="6"/>
  <c r="H33" i="6"/>
  <c r="I33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33" i="6"/>
  <c r="T33" i="6"/>
  <c r="H52" i="1"/>
  <c r="AS13" i="1"/>
  <c r="G40" i="1"/>
  <c r="G67" i="1"/>
  <c r="AS37" i="1"/>
  <c r="AS39" i="1"/>
  <c r="AS66" i="1"/>
  <c r="I39" i="1"/>
  <c r="U11" i="1"/>
  <c r="T16" i="1"/>
  <c r="U16" i="1"/>
  <c r="T17" i="1"/>
  <c r="U17" i="1"/>
  <c r="T8" i="1"/>
  <c r="T23" i="1"/>
  <c r="S18" i="1"/>
  <c r="U18" i="1"/>
  <c r="S23" i="1"/>
  <c r="U12" i="1"/>
  <c r="I52" i="1"/>
  <c r="I62" i="6"/>
  <c r="F62" i="6"/>
  <c r="H37" i="1"/>
  <c r="F60" i="6"/>
  <c r="F61" i="6"/>
  <c r="G63" i="6"/>
  <c r="F63" i="6"/>
  <c r="F64" i="6"/>
  <c r="F57" i="6"/>
  <c r="F59" i="6"/>
  <c r="H45" i="6"/>
  <c r="I45" i="6"/>
  <c r="G45" i="6"/>
  <c r="M45" i="6"/>
  <c r="K45" i="6"/>
  <c r="L45" i="6"/>
  <c r="N45" i="6"/>
  <c r="O45" i="6"/>
  <c r="P45" i="6"/>
  <c r="Q45" i="6"/>
  <c r="R45" i="6"/>
  <c r="J45" i="6"/>
  <c r="T37" i="6"/>
  <c r="J35" i="6"/>
  <c r="R33" i="6"/>
  <c r="R43" i="6"/>
  <c r="Q33" i="6"/>
  <c r="Q43" i="6"/>
  <c r="P33" i="6"/>
  <c r="P43" i="6"/>
  <c r="O33" i="6"/>
  <c r="O43" i="6"/>
  <c r="N33" i="6"/>
  <c r="N43" i="6"/>
  <c r="M33" i="6"/>
  <c r="M43" i="6"/>
  <c r="L43" i="6"/>
  <c r="K42" i="6"/>
  <c r="S42" i="6"/>
  <c r="J33" i="6"/>
  <c r="J43" i="6"/>
  <c r="I40" i="6"/>
  <c r="S40" i="6"/>
  <c r="G39" i="6"/>
  <c r="S39" i="6"/>
  <c r="T6" i="6"/>
  <c r="T7" i="6"/>
  <c r="T8" i="6"/>
  <c r="T9" i="6"/>
  <c r="T10" i="6"/>
  <c r="R5" i="6"/>
  <c r="Q5" i="6"/>
  <c r="P5" i="6"/>
  <c r="O5" i="6"/>
  <c r="M5" i="6"/>
  <c r="L5" i="6"/>
  <c r="K5" i="6"/>
  <c r="J5" i="6"/>
  <c r="N4" i="6"/>
  <c r="N5" i="6"/>
  <c r="S5" i="6"/>
  <c r="S4" i="6"/>
  <c r="G69" i="1"/>
  <c r="S43" i="6"/>
  <c r="T44" i="6"/>
  <c r="W10" i="6"/>
  <c r="T11" i="6"/>
  <c r="T12" i="6"/>
  <c r="T13" i="6"/>
  <c r="T14" i="6"/>
  <c r="T15" i="6"/>
  <c r="T16" i="6"/>
  <c r="T17" i="6"/>
  <c r="T35" i="6"/>
  <c r="W17" i="6"/>
  <c r="T18" i="6"/>
  <c r="T19" i="6"/>
  <c r="T20" i="6"/>
  <c r="T21" i="6"/>
  <c r="T22" i="6"/>
  <c r="T23" i="6"/>
  <c r="T24" i="6"/>
  <c r="T25" i="6"/>
  <c r="W24" i="6"/>
  <c r="T26" i="6"/>
  <c r="W25" i="6"/>
  <c r="W26" i="6"/>
  <c r="T27" i="6"/>
  <c r="W27" i="6"/>
  <c r="H53" i="1"/>
  <c r="G52" i="1"/>
  <c r="G62" i="1"/>
  <c r="H51" i="1"/>
  <c r="G51" i="1"/>
  <c r="H39" i="1"/>
  <c r="G66" i="1"/>
  <c r="G39" i="1"/>
  <c r="G73" i="1"/>
  <c r="G53" i="1"/>
  <c r="V12" i="1"/>
  <c r="V9" i="1"/>
  <c r="AY19" i="1"/>
  <c r="AU19" i="1"/>
  <c r="P35" i="3"/>
  <c r="O35" i="3"/>
  <c r="M35" i="3"/>
  <c r="L35" i="3"/>
  <c r="J4" i="3"/>
  <c r="H35" i="3"/>
  <c r="G35" i="3"/>
  <c r="F35" i="3"/>
  <c r="R20" i="3"/>
  <c r="Q35" i="3"/>
  <c r="Q4" i="3"/>
  <c r="P4" i="3"/>
  <c r="O4" i="3"/>
  <c r="N4" i="3"/>
  <c r="L4" i="3"/>
  <c r="I4" i="3"/>
  <c r="M3" i="3"/>
  <c r="M4" i="3"/>
  <c r="K35" i="3"/>
  <c r="K4" i="3"/>
  <c r="R4" i="3"/>
  <c r="R38" i="3"/>
  <c r="R3" i="3"/>
  <c r="R21" i="3"/>
  <c r="R39" i="3"/>
  <c r="R40" i="3"/>
  <c r="R35" i="3"/>
  <c r="S35" i="3"/>
  <c r="R37" i="3"/>
  <c r="W22" i="3"/>
  <c r="N33" i="2"/>
  <c r="L33" i="2"/>
  <c r="K33" i="2"/>
  <c r="J33" i="2"/>
  <c r="O25" i="2"/>
  <c r="O33" i="2"/>
  <c r="O4" i="2"/>
  <c r="M25" i="2"/>
  <c r="M33" i="2"/>
  <c r="M4" i="2"/>
  <c r="P22" i="2"/>
  <c r="P21" i="2"/>
  <c r="P20" i="2"/>
  <c r="P19" i="2"/>
  <c r="T18" i="2"/>
  <c r="Q18" i="2"/>
  <c r="Q19" i="2"/>
  <c r="P18" i="2"/>
  <c r="A18" i="2"/>
  <c r="A19" i="2"/>
  <c r="A20" i="2"/>
  <c r="A21" i="2"/>
  <c r="A22" i="2"/>
  <c r="A25" i="2"/>
  <c r="T17" i="2"/>
  <c r="P17" i="2"/>
  <c r="T16" i="2"/>
  <c r="P16" i="2"/>
  <c r="T15" i="2"/>
  <c r="P15" i="2"/>
  <c r="T14" i="2"/>
  <c r="P14" i="2"/>
  <c r="T13" i="2"/>
  <c r="P13" i="2"/>
  <c r="T12" i="2"/>
  <c r="P12" i="2"/>
  <c r="T11" i="2"/>
  <c r="P11" i="2"/>
  <c r="T10" i="2"/>
  <c r="P10" i="2"/>
  <c r="T9" i="2"/>
  <c r="P9" i="2"/>
  <c r="T8" i="2"/>
  <c r="P8" i="2"/>
  <c r="T7" i="2"/>
  <c r="P7" i="2"/>
  <c r="T6" i="2"/>
  <c r="T5" i="2"/>
  <c r="U5" i="2"/>
  <c r="N4" i="2"/>
  <c r="L4" i="2"/>
  <c r="J4" i="2"/>
  <c r="P33" i="2"/>
  <c r="P35" i="2"/>
  <c r="T19" i="2"/>
  <c r="K4" i="2"/>
  <c r="Q20" i="2"/>
  <c r="T20" i="2"/>
  <c r="P25" i="2"/>
  <c r="Q21" i="2"/>
  <c r="T21" i="2"/>
  <c r="Q22" i="2"/>
  <c r="T22" i="2"/>
  <c r="Q23" i="2"/>
  <c r="T23" i="2"/>
  <c r="Q24" i="2"/>
  <c r="T24" i="2"/>
  <c r="Q25" i="2"/>
  <c r="T25" i="2"/>
  <c r="B76" i="1"/>
  <c r="K74" i="1"/>
  <c r="G74" i="1"/>
  <c r="B73" i="1"/>
  <c r="B74" i="1"/>
  <c r="H67" i="1"/>
  <c r="B66" i="1"/>
  <c r="B67" i="1"/>
  <c r="G64" i="1"/>
  <c r="B62" i="1"/>
  <c r="B63" i="1"/>
  <c r="H62" i="1"/>
  <c r="I51" i="1"/>
  <c r="B49" i="1"/>
  <c r="B50" i="1"/>
  <c r="U37" i="1"/>
  <c r="U36" i="1"/>
  <c r="B36" i="1"/>
  <c r="B37" i="1"/>
  <c r="B38" i="1"/>
  <c r="B25" i="1"/>
  <c r="B26" i="1"/>
  <c r="B27" i="1"/>
  <c r="I12" i="1"/>
  <c r="I23" i="1"/>
  <c r="V23" i="1"/>
  <c r="B9" i="1"/>
  <c r="B10" i="1"/>
  <c r="B11" i="1"/>
  <c r="B12" i="1"/>
  <c r="B13" i="1"/>
  <c r="B14" i="1"/>
  <c r="B15" i="1"/>
  <c r="B16" i="1"/>
  <c r="B17" i="1"/>
  <c r="B18" i="1"/>
  <c r="B19" i="1"/>
  <c r="AZ31" i="1"/>
  <c r="BA31" i="1"/>
  <c r="AU9" i="1"/>
  <c r="AU16" i="1"/>
  <c r="B20" i="1"/>
  <c r="B21" i="1"/>
  <c r="B22" i="1"/>
  <c r="Q63" i="1"/>
  <c r="K26" i="1"/>
  <c r="S63" i="1"/>
  <c r="R63" i="1"/>
  <c r="J24" i="1"/>
  <c r="J25" i="1"/>
  <c r="AS9" i="1"/>
  <c r="AY9" i="1"/>
  <c r="AY23" i="1"/>
  <c r="AS16" i="1"/>
  <c r="AZ16" i="1"/>
  <c r="U39" i="1"/>
  <c r="N64" i="1"/>
  <c r="I26" i="1"/>
  <c r="G68" i="1"/>
  <c r="AS67" i="1"/>
  <c r="AS68" i="1"/>
  <c r="H64" i="1"/>
  <c r="I53" i="1"/>
  <c r="U8" i="1"/>
  <c r="U23" i="1"/>
  <c r="Q62" i="1"/>
  <c r="T53" i="1"/>
  <c r="O68" i="1"/>
  <c r="AS15" i="1"/>
  <c r="AZ15" i="1"/>
  <c r="K68" i="1"/>
  <c r="K70" i="1"/>
  <c r="G75" i="1"/>
  <c r="G76" i="1"/>
  <c r="P69" i="1"/>
  <c r="U27" i="1"/>
  <c r="O71" i="1"/>
  <c r="W23" i="1"/>
  <c r="T69" i="1"/>
  <c r="AZ8" i="1"/>
  <c r="H68" i="1"/>
  <c r="U25" i="1"/>
  <c r="U24" i="1"/>
  <c r="AS8" i="1"/>
  <c r="AS23" i="1"/>
  <c r="H73" i="1"/>
  <c r="H75" i="1"/>
  <c r="T70" i="1"/>
  <c r="T73" i="1"/>
  <c r="AZ23" i="1"/>
  <c r="BC23" i="1"/>
  <c r="AU23" i="1"/>
  <c r="AY27" i="1"/>
  <c r="P73" i="1"/>
  <c r="P70" i="1"/>
  <c r="BD13" i="1"/>
  <c r="W26" i="1"/>
  <c r="O73" i="1"/>
  <c r="O76" i="1"/>
  <c r="Q69" i="1"/>
  <c r="R69" i="1"/>
  <c r="R71" i="1"/>
  <c r="H76" i="1"/>
  <c r="S69" i="1"/>
  <c r="AS26" i="1"/>
  <c r="AS69" i="1"/>
  <c r="K64" i="1"/>
  <c r="K73" i="1"/>
  <c r="K76" i="1"/>
  <c r="T75" i="1"/>
  <c r="T76" i="1"/>
  <c r="O75" i="1"/>
  <c r="P75" i="1"/>
  <c r="P76" i="1"/>
  <c r="Q71" i="1"/>
  <c r="S70" i="1"/>
  <c r="S53" i="1"/>
  <c r="N76" i="1"/>
  <c r="N75" i="1"/>
  <c r="AS52" i="1"/>
  <c r="AS62" i="1"/>
  <c r="AS64" i="1"/>
  <c r="K75" i="1"/>
  <c r="Q64" i="1"/>
  <c r="Q73" i="1"/>
  <c r="R62" i="1"/>
  <c r="R64" i="1"/>
  <c r="R73" i="1"/>
  <c r="R76" i="1"/>
  <c r="S62" i="1"/>
  <c r="S64" i="1"/>
  <c r="S73" i="1"/>
  <c r="S76" i="1"/>
  <c r="AS73" i="1"/>
  <c r="AS75" i="1"/>
  <c r="R75" i="1"/>
  <c r="Q76" i="1"/>
  <c r="Q75" i="1"/>
  <c r="AS76" i="1"/>
  <c r="S75" i="1"/>
</calcChain>
</file>

<file path=xl/sharedStrings.xml><?xml version="1.0" encoding="utf-8"?>
<sst xmlns="http://schemas.openxmlformats.org/spreadsheetml/2006/main" count="1234" uniqueCount="483">
  <si>
    <t>uplift</t>
  </si>
  <si>
    <t>2010/11</t>
  </si>
  <si>
    <t>Vatable</t>
  </si>
  <si>
    <t>Budget</t>
  </si>
  <si>
    <t>Actual</t>
  </si>
  <si>
    <t>Total Predicted Spend</t>
  </si>
  <si>
    <t>Total VAT</t>
  </si>
  <si>
    <t>Serial</t>
  </si>
  <si>
    <t>Description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</si>
  <si>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</si>
  <si>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</si>
  <si>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</si>
  <si>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</si>
  <si>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</si>
  <si>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</si>
  <si>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</si>
  <si>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</si>
  <si>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</si>
  <si>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</si>
  <si>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</si>
  <si>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Expenditure Items</t>
  </si>
  <si>
    <t>Insurance</t>
  </si>
  <si>
    <t>Audit Fees</t>
  </si>
  <si>
    <t>a</t>
  </si>
  <si>
    <t>Grass Cutting</t>
  </si>
  <si>
    <t>S 137</t>
  </si>
  <si>
    <t>Training</t>
  </si>
  <si>
    <t>Clerk's Salary</t>
  </si>
  <si>
    <t>Clerk's Expenses</t>
  </si>
  <si>
    <t>SALC Subscription</t>
  </si>
  <si>
    <t>Election Expenses</t>
  </si>
  <si>
    <r>
      <t>Hall Hire</t>
    </r>
    <r>
      <rPr>
        <vertAlign val="superscript"/>
        <sz val="10"/>
        <rFont val="Arial"/>
        <family val="2"/>
      </rPr>
      <t>(1)</t>
    </r>
  </si>
  <si>
    <t>unchanged from last budget</t>
  </si>
  <si>
    <t>Neighbourhood Watch Signs</t>
  </si>
  <si>
    <t>Totals</t>
  </si>
  <si>
    <t>Analysis</t>
  </si>
  <si>
    <t>Overrun</t>
  </si>
  <si>
    <t>Underspend</t>
  </si>
  <si>
    <t>Budget Increase for Year</t>
  </si>
  <si>
    <t>Expenditure Increase for Year</t>
  </si>
  <si>
    <t>Total Predicted Income</t>
  </si>
  <si>
    <t>(c )</t>
  </si>
  <si>
    <t>Misc Items</t>
  </si>
  <si>
    <t>Training Bursery</t>
  </si>
  <si>
    <t>Bank Interest</t>
  </si>
  <si>
    <t>VAT Reclaim</t>
  </si>
  <si>
    <t>Gross  Misc Income</t>
  </si>
  <si>
    <t>Precept</t>
  </si>
  <si>
    <t>Start of Year</t>
  </si>
  <si>
    <t>End of Year</t>
  </si>
  <si>
    <t>Predicted Start of Year</t>
  </si>
  <si>
    <t>Ear mark'd</t>
  </si>
  <si>
    <t>Earmarked 2</t>
  </si>
  <si>
    <t>Earmarked 3</t>
  </si>
  <si>
    <t>Total Earmarked</t>
  </si>
  <si>
    <t>General</t>
  </si>
  <si>
    <t>General as % of Precept</t>
  </si>
  <si>
    <t>2011/12</t>
  </si>
  <si>
    <t>START of YEAR</t>
  </si>
  <si>
    <t>General Reserves</t>
  </si>
  <si>
    <t>Earmarked Reserves</t>
  </si>
  <si>
    <t>Total Reserves</t>
  </si>
  <si>
    <t>INCOME &amp; EXPENDITURE</t>
  </si>
  <si>
    <t>Income, excl Precept</t>
  </si>
  <si>
    <t>Total Income</t>
  </si>
  <si>
    <t>Expenditure</t>
  </si>
  <si>
    <t>END of YEAR</t>
  </si>
  <si>
    <t>General Res as % of Precept</t>
  </si>
  <si>
    <t>Percentage Precept Increase</t>
  </si>
  <si>
    <t>RECEIPTS YEAR ENDING 31st MARCH 2010</t>
  </si>
  <si>
    <t>PAYMENTS YEAR ENDED 31st MARCH 2010</t>
  </si>
  <si>
    <t>Invoices &amp; receipts</t>
  </si>
  <si>
    <t>Ref</t>
  </si>
  <si>
    <t>DATE</t>
  </si>
  <si>
    <t>Payee</t>
  </si>
  <si>
    <t xml:space="preserve">Description </t>
  </si>
  <si>
    <t>PC Authorisation</t>
  </si>
  <si>
    <t>Cheque No</t>
  </si>
  <si>
    <t>Precept/     Misc</t>
  </si>
  <si>
    <t>Interest</t>
  </si>
  <si>
    <t>VAT</t>
  </si>
  <si>
    <t>S.137</t>
  </si>
  <si>
    <t>Clerks' Salary</t>
  </si>
  <si>
    <t>Stationary Postage Mileage</t>
  </si>
  <si>
    <t>Fees Training Misc</t>
  </si>
  <si>
    <t>Insurance /SUBS.</t>
  </si>
  <si>
    <t>Gross Payments</t>
  </si>
  <si>
    <t>CURRENT A/C</t>
  </si>
  <si>
    <t>Balance Cross Check</t>
  </si>
  <si>
    <t>Error Flag</t>
  </si>
  <si>
    <t>Invoice-Receipt</t>
  </si>
  <si>
    <t>Minutes</t>
  </si>
  <si>
    <t>Budget Under/Over Run</t>
  </si>
  <si>
    <t>VAT Reclaim 01.04.08 to 31.03.09</t>
  </si>
  <si>
    <t>Y</t>
  </si>
  <si>
    <t>J Hunt (Salary/Expenses) Jan-April 2009</t>
  </si>
  <si>
    <t>APCM 5 May 2009  Serial 9</t>
  </si>
  <si>
    <t>SALC (Subscription 2009/2010)</t>
  </si>
  <si>
    <t>Suffolk ACRE (Subscription 2009/2010)</t>
  </si>
  <si>
    <t>Old School House Nursery Donation 2009/2010</t>
  </si>
  <si>
    <t>Victim Support Donation 2009/2010</t>
  </si>
  <si>
    <t>East Anglian Air Ambulance Donation 2009/2010</t>
  </si>
  <si>
    <t>Debenham First Responders Donation 2009/2010</t>
  </si>
  <si>
    <t>SARS Donation 2009/2010</t>
  </si>
  <si>
    <t>St Mary's PCC Donation 2009/2010</t>
  </si>
  <si>
    <t>r</t>
  </si>
  <si>
    <t>Helmingham TT Club Donation 2009/2010</t>
  </si>
  <si>
    <t>J Hunt (Salary/Expenses) May to July 2009</t>
  </si>
  <si>
    <t>Not authorised</t>
  </si>
  <si>
    <t>BDO Stoy Hayward</t>
  </si>
  <si>
    <t>BDO StoyHayward LLP - audit 2008-9</t>
  </si>
  <si>
    <t>PCM 26 Oct 2009 - Serial 9</t>
  </si>
  <si>
    <t>Suffolk ACRE</t>
  </si>
  <si>
    <t>Suffolk ACRE Services</t>
  </si>
  <si>
    <t>SALC</t>
  </si>
  <si>
    <t>SALC (New Clerk Training)</t>
  </si>
  <si>
    <t>SALC (New Clerk Training - workshop 19 Oct)</t>
  </si>
  <si>
    <t>SALC (New Clerk Training - workshop 23 Oct)</t>
  </si>
  <si>
    <t>unpresented cheque</t>
  </si>
  <si>
    <t>SCC</t>
  </si>
  <si>
    <t>SALC trg workshops 26 &amp; 29 Oct</t>
  </si>
  <si>
    <t>PCM 21 Dec2009 - Serial 9</t>
  </si>
  <si>
    <t>TOTAL</t>
  </si>
  <si>
    <t>HELMINGHAM CASH BOOK 2010-11: DETAILS</t>
  </si>
  <si>
    <t>RECEIPTS Yr end 31 Mar 2011</t>
  </si>
  <si>
    <t>PAYMENTS Yr end 31 Mar 2011</t>
  </si>
  <si>
    <t>Payer/Payee</t>
  </si>
  <si>
    <t>Churchyard Grass Cutting</t>
  </si>
  <si>
    <t>Hall Hire for APM</t>
  </si>
  <si>
    <t>CHECK</t>
  </si>
  <si>
    <t>Budget Under/Over Run (Overun shown negative)</t>
  </si>
  <si>
    <t>Helmingham Nursery</t>
  </si>
  <si>
    <t>Donation Helmingham Nursery for 2010/11</t>
  </si>
  <si>
    <t>APC Mtg 5 May 2010 Srl 9</t>
  </si>
  <si>
    <t>receipt required</t>
  </si>
  <si>
    <t>Debenham 1st Responders</t>
  </si>
  <si>
    <t>Donation Debenham 1st Responders for 10/11</t>
  </si>
  <si>
    <t>DJ Perry</t>
  </si>
  <si>
    <t>Clerks salary &amp; expenses Aug 2009 to Mar 2010 inc</t>
  </si>
  <si>
    <t>invoiced</t>
  </si>
  <si>
    <t>MSDC</t>
  </si>
  <si>
    <t>Precept First Payment</t>
  </si>
  <si>
    <t>balanced</t>
  </si>
  <si>
    <t>Suffolk ACRE subscription for 2010/11</t>
  </si>
  <si>
    <t>receipt received</t>
  </si>
  <si>
    <t>SALC membership subscription 2010/11</t>
  </si>
  <si>
    <t>St Mary's PCC</t>
  </si>
  <si>
    <t>Donation for St Mary's churchyard upkeep 2008-10</t>
  </si>
  <si>
    <t>Donation for St Mary's churchyard upkeep 2010-11</t>
  </si>
  <si>
    <t>EAAA</t>
  </si>
  <si>
    <t>Donation  Air Ambulance for 2010/11</t>
  </si>
  <si>
    <t>Precept - second payment</t>
  </si>
  <si>
    <t>Heelis &amp; Lodge</t>
  </si>
  <si>
    <t>Internal audit fee for yr ending 31 Mar 2010</t>
  </si>
  <si>
    <t>APC Mtg 26 Oct 2010 Srl 9</t>
  </si>
  <si>
    <t>SuffolkACRE</t>
  </si>
  <si>
    <t>Zurich Insurance Premium from 1 Oct 2010</t>
  </si>
  <si>
    <t>Suffolk Police</t>
  </si>
  <si>
    <t>Supply &amp; erect 4 x N'hood Watch signs</t>
  </si>
  <si>
    <t>BDO</t>
  </si>
  <si>
    <t>Standard audit fee for year ending 31 Mar 2010</t>
  </si>
  <si>
    <t>Clerks salary &amp; expenses Apr to 30 Sep 2010 inc</t>
  </si>
  <si>
    <t>balanced 17 Jan 2011</t>
  </si>
  <si>
    <t>HMRC</t>
  </si>
  <si>
    <t>VAT Refund 1 Apr 2009 to 31 Mar 2010</t>
  </si>
  <si>
    <t>Clerks salary &amp; expenses Oct 10 to 31 Mar 2011 inc</t>
  </si>
  <si>
    <t>APC Mtg 14 Mar 2011 Srl 9</t>
  </si>
  <si>
    <t>HMRC seminar on VAT and PAYE 7 Mar 11</t>
  </si>
  <si>
    <t>sheet 88 balanced</t>
  </si>
  <si>
    <t>Suffolk ACRE membership renewal 2011-12</t>
  </si>
  <si>
    <t>payments</t>
  </si>
  <si>
    <t>salary</t>
  </si>
  <si>
    <t>other</t>
  </si>
  <si>
    <t>HELMINGHAM CASH BOOK 2011-12: DETAILS</t>
  </si>
  <si>
    <t>RECEIPTS</t>
  </si>
  <si>
    <t>PAYMENTS</t>
  </si>
  <si>
    <t>invoice 10253 for Clerk's election briefing 24/3/11</t>
  </si>
  <si>
    <t>serial 9c, APCM 23 May 2011</t>
  </si>
  <si>
    <t>invoice 10488 for SALC subscription 2011/12</t>
  </si>
  <si>
    <t>Internal audit fee</t>
  </si>
  <si>
    <t>Clerk's Salary ex Tax: 1 Apr -  30 Jun 2011</t>
  </si>
  <si>
    <t>Tax on Clerk's salary 1 Apr - 30 Jun 2011</t>
  </si>
  <si>
    <t>Uncontested Election Fee</t>
  </si>
  <si>
    <t>BDO Audit fee for year ending 31 Mar 2011</t>
  </si>
  <si>
    <t>Suffolk ACRE-Zurich insurance renewal to 30 Sep 12</t>
  </si>
  <si>
    <t>Clerk's Salary ex Tax: 1 Jul -  30 Sep 2011</t>
  </si>
  <si>
    <t>Tax on Clerk's salary: 1 Jul -  30 Sep 2011</t>
  </si>
  <si>
    <t>Precept Second Payment</t>
  </si>
  <si>
    <t>Donation Helmingham Churchyard Maintenance 11/12</t>
  </si>
  <si>
    <t>Donation Helmingham Nursery 2011/12</t>
  </si>
  <si>
    <t>Clerk's Salary ex Tax: 1 Oct -  31 Dec 2011</t>
  </si>
  <si>
    <t>Tax on Clerk's salary: 1 Oct -  31 Dec 2011</t>
  </si>
  <si>
    <t>Clerk's Salary ex Tax: 1 Jan -  31 Mar 2012</t>
  </si>
  <si>
    <t>Tax on Clerk's salary: 1 Jan -  31 Mar 2012</t>
  </si>
  <si>
    <t>Ladywell Services</t>
  </si>
  <si>
    <t>Maximum donations (138 electors in 2011):</t>
  </si>
  <si>
    <t xml:space="preserve">£6.15 per elector </t>
  </si>
  <si>
    <t>2012/13</t>
  </si>
  <si>
    <t>HMRC/PAYE Agent Fee</t>
  </si>
  <si>
    <t>20012/13</t>
  </si>
  <si>
    <t>Income</t>
  </si>
  <si>
    <t>serial 9b PCM 31 Oct 2011</t>
  </si>
  <si>
    <t>serial 9e PCM 31 Oct 2011</t>
  </si>
  <si>
    <t>Old School Nursery</t>
  </si>
  <si>
    <t>serial 9bi PCM 05 Dec 2012</t>
  </si>
  <si>
    <t>balanced 9 Jan 2012</t>
  </si>
  <si>
    <t>HMRC VAT refund for 2010-11</t>
  </si>
  <si>
    <t>serial 9bii PCM 05 Dec 2012</t>
  </si>
  <si>
    <t>Clerk's mileage &amp; expenses for 1 Apr 11 to 31 Mar 12</t>
  </si>
  <si>
    <t>Suffolk ACRE Annual subscription 1 Apr 12-31 Mar 13</t>
  </si>
  <si>
    <t>Invoice 11/120361 Ladywell Services</t>
  </si>
  <si>
    <t>serial 9 APCM 14 May 2012</t>
  </si>
  <si>
    <t>Start balance</t>
  </si>
  <si>
    <t>Other income</t>
  </si>
  <si>
    <t>Other payments</t>
  </si>
  <si>
    <t>Salary</t>
  </si>
  <si>
    <t xml:space="preserve">Other </t>
  </si>
  <si>
    <t>Budget Headings</t>
  </si>
  <si>
    <t>S137</t>
  </si>
  <si>
    <t>Clerks Expenses</t>
  </si>
  <si>
    <t>Suffolk ACRE Subs</t>
  </si>
  <si>
    <t>SALC Subs</t>
  </si>
  <si>
    <t>Election Expemses</t>
  </si>
  <si>
    <t>HMRC PAYE Agent fee</t>
  </si>
  <si>
    <t>Bank Interests</t>
  </si>
  <si>
    <t>Hall Hire</t>
  </si>
  <si>
    <t>Neighbourhood Watch</t>
  </si>
  <si>
    <t>2013/14</t>
  </si>
  <si>
    <t>HELMINGHAM CASH BOOK 2012-13: DETAILS</t>
  </si>
  <si>
    <t>Bus Shelter Rethatching</t>
  </si>
  <si>
    <t>Subscription 2012-13</t>
  </si>
  <si>
    <t>serial 9c, APCM 14 May 2012</t>
  </si>
  <si>
    <t>internal audit fee</t>
  </si>
  <si>
    <t>Clerks salary Q1</t>
  </si>
  <si>
    <t>Tax on Clerk's salary Q1</t>
  </si>
  <si>
    <t>VAT repayment 2011-12</t>
  </si>
  <si>
    <t>BDO audit fee</t>
  </si>
  <si>
    <t>insurance</t>
  </si>
  <si>
    <t>Clerks salary Q2</t>
  </si>
  <si>
    <t>Tax on Clerk's salary Q2</t>
  </si>
  <si>
    <t>Ladywell PAYE services</t>
  </si>
  <si>
    <t>balanced 5 Oct 2012</t>
  </si>
  <si>
    <t>churchyard maintenance</t>
  </si>
  <si>
    <t>serial 9c, PCM 29 Oct 2012</t>
  </si>
  <si>
    <t>donation to Old School House nursery</t>
  </si>
  <si>
    <t>Tax on Clerk's salary Q3</t>
  </si>
  <si>
    <t>Tax on Clerk's salary Q4</t>
  </si>
  <si>
    <t>Clerks expenses &amp; mileage</t>
  </si>
  <si>
    <t>Maximum donations (133 electors in 2012):</t>
  </si>
  <si>
    <t>Total Expenditure</t>
  </si>
  <si>
    <t>End of Year Blance</t>
  </si>
  <si>
    <t>Bus Shelter Roof Repair</t>
  </si>
  <si>
    <t>estimated VAT for 2012/13</t>
  </si>
  <si>
    <t>based on 2.5% inflation on top of increase in asset insurance values from 2012.</t>
  </si>
  <si>
    <t>assumes no election or parish referendum</t>
  </si>
  <si>
    <t>none planned or budgeted for</t>
  </si>
  <si>
    <t>Band D equivalents</t>
  </si>
  <si>
    <t>Band D contribution</t>
  </si>
  <si>
    <t>S137 limit/elector</t>
  </si>
  <si>
    <t>electors</t>
  </si>
  <si>
    <t>S137 limit</t>
  </si>
  <si>
    <t>2014/15</t>
  </si>
  <si>
    <r>
      <t>Precept Option 1:</t>
    </r>
    <r>
      <rPr>
        <b/>
        <i/>
        <sz val="10"/>
        <rFont val="Arial"/>
        <family val="2"/>
      </rPr>
      <t xml:space="preserve"> No Change</t>
    </r>
  </si>
  <si>
    <t>©</t>
  </si>
  <si>
    <t>( c)</t>
  </si>
  <si>
    <t>Audit Return Section 1</t>
  </si>
  <si>
    <t>Srl</t>
  </si>
  <si>
    <t>31 Mar 2013</t>
  </si>
  <si>
    <t>Budget Under/Over Run (Overun negative)</t>
  </si>
  <si>
    <t>D Perry</t>
  </si>
  <si>
    <t>serial 9b, PCM 29 Oct 2012</t>
  </si>
  <si>
    <t>Ladywell</t>
  </si>
  <si>
    <t>OSH Nursery</t>
  </si>
  <si>
    <t>balanced 8 Jan 2013</t>
  </si>
  <si>
    <t>serial 9b, PCM 11 Mar 2013</t>
  </si>
  <si>
    <t>Tollemache</t>
  </si>
  <si>
    <t>Repairs to Bus Shelter Roof</t>
  </si>
  <si>
    <t>Clerks salary Q3 and Q4</t>
  </si>
  <si>
    <t>serial 9c, PCM 11 Mar 2013</t>
  </si>
  <si>
    <t>Cmty Actn Sflk</t>
  </si>
  <si>
    <t>Community Action Suffolk membership 2013-14</t>
  </si>
  <si>
    <t>Balance carry fwd</t>
  </si>
  <si>
    <t>Maximum donations :</t>
  </si>
  <si>
    <t>133 electors in 2012</t>
  </si>
  <si>
    <t>£6.80 per elector in 2012-13</t>
  </si>
  <si>
    <t>131 electors in 2013</t>
  </si>
  <si>
    <t>£6.98 per elector in 2013-14</t>
  </si>
  <si>
    <t>Balance bt fwd</t>
  </si>
  <si>
    <t>Other rcpts</t>
  </si>
  <si>
    <t>End of Year Balance</t>
  </si>
  <si>
    <t>Total cash, etc</t>
  </si>
  <si>
    <t>Asset Valuation at original value</t>
  </si>
  <si>
    <t>Bus shelter</t>
  </si>
  <si>
    <t>2 x seats</t>
  </si>
  <si>
    <t>Notice board</t>
  </si>
  <si>
    <t>TotalAsset Valuation</t>
  </si>
  <si>
    <t>Assets</t>
  </si>
  <si>
    <t>HELMINGHAM CASH BOOK 2013-14: DETAILS</t>
  </si>
  <si>
    <t>VAT Repayment 2012-13</t>
  </si>
  <si>
    <t>Precept First Payment + Discretionary Grant</t>
  </si>
  <si>
    <t>subscription 2012-3-14 - invoice 13017</t>
  </si>
  <si>
    <t>serial 9b, APCM 13 May 2013</t>
  </si>
  <si>
    <t>St Mary'sPCC for churchyard maintenance</t>
  </si>
  <si>
    <t>serial 9c, APCM 13 May 2013</t>
  </si>
  <si>
    <t>fee for internal audit 2012-13</t>
  </si>
  <si>
    <t>clerk's salary excl tax 2013-14 Q1</t>
  </si>
  <si>
    <t>HMRC tax on clerk's salary Q1</t>
  </si>
  <si>
    <t>balanced 10 July 2013</t>
  </si>
  <si>
    <t>HMRC tax on clerk's salary Q2</t>
  </si>
  <si>
    <t>clerk's salary excl tax 2013-14 Q2</t>
  </si>
  <si>
    <t>Ladywell Acc Svc</t>
  </si>
  <si>
    <t>Ladywell Accountancy services for PAYE agent fee</t>
  </si>
  <si>
    <t>insurance Oct 13 to Sep 14</t>
  </si>
  <si>
    <t>balanced 10 Oct 2013</t>
  </si>
  <si>
    <t>HMRC tax on clerk's salary Q3</t>
  </si>
  <si>
    <t>HMRC tax on clerk's salary Q4</t>
  </si>
  <si>
    <t>clerk's expenses 2013-14</t>
  </si>
  <si>
    <t>131 electors</t>
  </si>
  <si>
    <t>based on 3.0% inflation</t>
  </si>
  <si>
    <t>based on 3% inflation</t>
  </si>
  <si>
    <t>based on current payments and hours for full 12 months + 0.5% increase in anticipation of planned pay negotiations.</t>
  </si>
  <si>
    <t xml:space="preserve">estimated mileage  + £3.00 per week office expenses. </t>
  </si>
  <si>
    <t>allowing £25 increase in charity donations (the maximum allowed for the year is £190.65)</t>
  </si>
  <si>
    <t>MSDC Discretionary Grant</t>
  </si>
  <si>
    <t>Notice Board (Target £400)</t>
  </si>
  <si>
    <t>Estimated End of Year</t>
  </si>
  <si>
    <t>(c)</t>
  </si>
  <si>
    <t>(d</t>
  </si>
  <si>
    <t>(g</t>
  </si>
  <si>
    <t>(h</t>
  </si>
  <si>
    <t>budgeted for in 2015/16 if required</t>
  </si>
  <si>
    <t>Replacement Notice Board</t>
  </si>
  <si>
    <t>Notes</t>
  </si>
  <si>
    <t>Insurance Subs</t>
  </si>
  <si>
    <t>Expenses etc</t>
  </si>
  <si>
    <t>Fees/Trg/ Misc</t>
  </si>
  <si>
    <t>Churchy'd</t>
  </si>
  <si>
    <t>serial 9b, PCM 4 Nov 2013</t>
  </si>
  <si>
    <t>EAnglian Air Amb</t>
  </si>
  <si>
    <t>Donation to East Anglain Air Ambulance</t>
  </si>
  <si>
    <t>serial 9c2)a), PCM 4 Nov 2013</t>
  </si>
  <si>
    <t>D'ham 1st Responrs</t>
  </si>
  <si>
    <t>Donation to Debenham First Responders</t>
  </si>
  <si>
    <t>Citizens' Advcice</t>
  </si>
  <si>
    <t>Donation to Citizens' Advice Bureau</t>
  </si>
  <si>
    <t>serial 9b, PCM 2Dec 2013</t>
  </si>
  <si>
    <t xml:space="preserve">clerk's salary excl tax 2013-14 Q3 </t>
  </si>
  <si>
    <t>serial 9bii, PCM 3 Mar 2014</t>
  </si>
  <si>
    <t>clerk's salary excl tax 2013-14 Q4 inc backpay</t>
  </si>
  <si>
    <t>Helmingham School hire for Annual Meetings 2014</t>
  </si>
  <si>
    <t>First 8 months</t>
  </si>
  <si>
    <t>Last 4 months estimate</t>
  </si>
  <si>
    <t>( e)</t>
  </si>
  <si>
    <t>HELMINGHAM CASH BOOK 2014-15: DETAILS</t>
  </si>
  <si>
    <t>Council Tax Support Grant 2014/15</t>
  </si>
  <si>
    <t>Cmty Actn Suffolk</t>
  </si>
  <si>
    <t>membership renewal 2014-15</t>
  </si>
  <si>
    <t>HM Revenue</t>
  </si>
  <si>
    <t>Tax on Clerk's salary Q1 2014-15</t>
  </si>
  <si>
    <t>Clerk's salary Q1 2014-15 less tax</t>
  </si>
  <si>
    <t>balanced 8 July 2014</t>
  </si>
  <si>
    <t>VAT Refund</t>
  </si>
  <si>
    <t>balanced 7 Oct 2014</t>
  </si>
  <si>
    <t>Tax on Clerk's salary Q2 2014-15</t>
  </si>
  <si>
    <t>serial 9b, PCM 20 Oct 2014</t>
  </si>
  <si>
    <t>Clerk's salary Q2 2014-15 less tax</t>
  </si>
  <si>
    <t>serial 9c, PCM 20 Oct 2014</t>
  </si>
  <si>
    <t>Ladywell Acc Srvc</t>
  </si>
  <si>
    <t>Invoice 15/140822 for PAYE services</t>
  </si>
  <si>
    <t>St mary's PCC</t>
  </si>
  <si>
    <t>Donation for Churchyard maintenance</t>
  </si>
  <si>
    <t>serial 9c, APCM 12 May 2014</t>
  </si>
  <si>
    <t>receipt ok</t>
  </si>
  <si>
    <t>Old Sch H Nursery</t>
  </si>
  <si>
    <t>Donation to Old School House Nursery</t>
  </si>
  <si>
    <t>EA Air Ambulance</t>
  </si>
  <si>
    <t>Donation to East Anglian Air Ambulance</t>
  </si>
  <si>
    <t>D'ham 1st Respond</t>
  </si>
  <si>
    <t>MS Citizn Adv Bur</t>
  </si>
  <si>
    <t>Donation to Citizen's Advice Bureau</t>
  </si>
  <si>
    <t>EACH</t>
  </si>
  <si>
    <t>Donation to East Anglian Children's Hospices</t>
  </si>
  <si>
    <t>Cmmty Act Suffolk</t>
  </si>
  <si>
    <t>Insurance Renewal- Buusiness Services at CAS</t>
  </si>
  <si>
    <t>Clerk's salary Q3 2014-15 less tax</t>
  </si>
  <si>
    <t>serial 9b, PCM 8 Dec 2014</t>
  </si>
  <si>
    <t>Tax on Clerk's salary Q3 2014-15</t>
  </si>
  <si>
    <t>internal audit fee for 2013-14 accounts</t>
  </si>
  <si>
    <t>Clerk's salary Q4 2014-15 less tax</t>
  </si>
  <si>
    <t>Tax on Clerk's salary Q4 2014-15</t>
  </si>
  <si>
    <t>Clerk's Expenses for 2014-15</t>
  </si>
  <si>
    <t>2015/16</t>
  </si>
  <si>
    <t>HELMINGHAM PARISH COUNCIL:  CashBook for 2015-16</t>
  </si>
  <si>
    <t>HELMINGHAM CASH BOOK 2015-16: DETAILS</t>
  </si>
  <si>
    <t>Full Grant</t>
  </si>
  <si>
    <t>Cmmty Actn Sfflk</t>
  </si>
  <si>
    <t>subscription 2015-16 membership no CAS1127/14</t>
  </si>
  <si>
    <t>serial 9c, APCM 18 May 2015</t>
  </si>
  <si>
    <t>subscription 2015-16 - invoice 15706</t>
  </si>
  <si>
    <t>Ladywell Acct Srvc</t>
  </si>
  <si>
    <t xml:space="preserve">HMRC tax on clerk's salary 2015-16 Q1 </t>
  </si>
  <si>
    <t>Clerk's salary less tax 2015-16 Q1</t>
  </si>
  <si>
    <t>balanced 3 July 2015</t>
  </si>
  <si>
    <t>Clerk's salary less tax 2015-16 Q2</t>
  </si>
  <si>
    <t>serial 9c, PCM 12 Oct 2015</t>
  </si>
  <si>
    <t>Expenses 1 April to 30 Sep 2015</t>
  </si>
  <si>
    <t>Stievie Sonbright</t>
  </si>
  <si>
    <t>Donation in memory of ex Cllr Kieth Gardiner</t>
  </si>
  <si>
    <t xml:space="preserve">web training </t>
  </si>
  <si>
    <t>serial 9b, PCM 7 Dec 2015</t>
  </si>
  <si>
    <t>serial 9bi, PCM Mar 2016</t>
  </si>
  <si>
    <t>Clerk's Expenses for 2014-15 estimated</t>
  </si>
  <si>
    <t>deficit</t>
  </si>
  <si>
    <t>HELMINGHAM PARISH COUNCIL:  CashBook for 2014-15</t>
  </si>
  <si>
    <t>serial 9b, APCM 12 May 2014</t>
  </si>
  <si>
    <t>balanced 8 Jan 2015</t>
  </si>
  <si>
    <t>serial 9bi, PCM 16 Mar 2015</t>
  </si>
  <si>
    <t>serial 9bii, PCM 16 Mar 2015</t>
  </si>
  <si>
    <t>balanced 7 Apr 2015</t>
  </si>
  <si>
    <t>128 electors 2014/15</t>
  </si>
  <si>
    <t>expenses</t>
  </si>
  <si>
    <t>fees</t>
  </si>
  <si>
    <t>insurance &amp; membership</t>
  </si>
  <si>
    <t>hall hire</t>
  </si>
  <si>
    <t>Charities</t>
  </si>
  <si>
    <t>Churchyard</t>
  </si>
  <si>
    <t>2016/17</t>
  </si>
  <si>
    <r>
      <t>To Date</t>
    </r>
    <r>
      <rPr>
        <b/>
        <vertAlign val="superscript"/>
        <sz val="10"/>
        <rFont val="Arial"/>
        <family val="2"/>
      </rPr>
      <t xml:space="preserve">(2)   </t>
    </r>
    <r>
      <rPr>
        <b/>
        <sz val="10"/>
        <rFont val="Arial"/>
        <family val="2"/>
      </rPr>
      <t xml:space="preserve">        First  7 Months</t>
    </r>
  </si>
  <si>
    <r>
      <t>Last 5 Months to Yr End</t>
    </r>
    <r>
      <rPr>
        <b/>
        <vertAlign val="superscript"/>
        <sz val="10"/>
        <rFont val="Arial"/>
        <family val="2"/>
      </rPr>
      <t>(3)</t>
    </r>
  </si>
  <si>
    <t>To Date           First  7 Months</t>
  </si>
  <si>
    <t>Last 5 Months to Year End</t>
  </si>
  <si>
    <r>
      <t xml:space="preserve">Precept Option 1: </t>
    </r>
    <r>
      <rPr>
        <b/>
        <i/>
        <sz val="10"/>
        <rFont val="Arial"/>
        <family val="2"/>
      </rPr>
      <t>No Change</t>
    </r>
  </si>
  <si>
    <r>
      <t>Precept Option 2:</t>
    </r>
    <r>
      <rPr>
        <b/>
        <i/>
        <sz val="10"/>
        <rFont val="Arial"/>
        <family val="2"/>
      </rPr>
      <t xml:space="preserve"> Increase by £300</t>
    </r>
  </si>
  <si>
    <r>
      <t xml:space="preserve">Precept Option 3: </t>
    </r>
    <r>
      <rPr>
        <b/>
        <i/>
        <sz val="10"/>
        <rFont val="Arial"/>
        <family val="2"/>
      </rPr>
      <t>Increased by £500</t>
    </r>
  </si>
  <si>
    <t>based on 2% inflation</t>
  </si>
  <si>
    <t>allowing same charity donations as spent in 2014/15</t>
  </si>
  <si>
    <t>no election expected during the year.</t>
  </si>
  <si>
    <t>budgeted for in 2015/16 but no longer required.</t>
  </si>
  <si>
    <t>increase as % of total budgeted expenditure</t>
  </si>
  <si>
    <t>Deficit</t>
  </si>
  <si>
    <t>Surplus</t>
  </si>
  <si>
    <t>Additional £100 added to inflation increase for internal auditor estimated fee for 5 year period for external auditor under new regulations</t>
  </si>
  <si>
    <t>COUNCIL TAX BASE</t>
  </si>
  <si>
    <t>% Change</t>
  </si>
  <si>
    <t>PARISH</t>
  </si>
  <si>
    <t xml:space="preserve"> Helmingham </t>
  </si>
  <si>
    <t>Mid Suffolk Parishes</t>
  </si>
  <si>
    <t>Grants to be paid for the next year</t>
  </si>
  <si>
    <t>2014/15 Adjusted</t>
  </si>
  <si>
    <t>2017/18</t>
  </si>
  <si>
    <t>Parish / Town Council</t>
  </si>
  <si>
    <t>£</t>
  </si>
  <si>
    <t>Suf'k ACRE/CAS Subscription</t>
  </si>
  <si>
    <t>CAS Annual Website Fee</t>
  </si>
  <si>
    <t>assuming one third share of two courses</t>
  </si>
  <si>
    <t>new fee for onesuffolk website provision.</t>
  </si>
  <si>
    <t>Budget 2017-18 Table 1:                                            Helmingham PC Expenditure</t>
  </si>
  <si>
    <t>Budget 2017-18 Table 2:                                             Helmingham PC Income</t>
  </si>
  <si>
    <t>Transparency Fund</t>
  </si>
  <si>
    <t>20017/18</t>
  </si>
  <si>
    <t>Budget 2017-18 Table 3:                                             Helmingham PC Reserves</t>
  </si>
  <si>
    <t>Budget 2017-18 Table 4:                                             Helmingham PC Budget Summary</t>
  </si>
  <si>
    <t>2016/17         Predicted</t>
  </si>
  <si>
    <t>2017/18 Predicted</t>
  </si>
  <si>
    <t>based on clerk rates increased in line with NALC pay rates SPC 21</t>
  </si>
  <si>
    <t>% increase</t>
  </si>
  <si>
    <t>New</t>
  </si>
  <si>
    <t>-</t>
  </si>
  <si>
    <t>None</t>
  </si>
  <si>
    <t>Amount</t>
  </si>
  <si>
    <t>Increase</t>
  </si>
  <si>
    <t>increase over 3 years</t>
  </si>
  <si>
    <t>other factors</t>
  </si>
  <si>
    <t>audit fees</t>
  </si>
  <si>
    <t>training</t>
  </si>
  <si>
    <t>increased mileage for new clerk, £4.00 per week office expenses andstationery costs.</t>
  </si>
  <si>
    <t>Notes                      1</t>
  </si>
  <si>
    <t>Option Selected: increase by £750</t>
  </si>
  <si>
    <t>Forecast provided by SALC.</t>
  </si>
  <si>
    <t>Note:</t>
  </si>
  <si>
    <t>An increase of £750 to a new precept of £3,150.00 was approved by the Council at the Parish Council Meeting on 5 December 2016.</t>
  </si>
  <si>
    <t>Helmingham PC: Budget for 2018-19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</si>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</sst>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£&quot;* #,##0.00_);_(&quot;£&quot;* \(#,##0.00\);_(&quot;£&quot;* &quot;-&quot;??_);_(@_)"/>
    <numFmt numFmtId="164" formatCode="_-&quot;£&quot;* #,##0.00_-;\-&quot;£&quot;* #,##0.00_-;_-&quot;£&quot;* &quot;-&quot;??_-;_-@_-"/>
    <numFmt numFmtId="165" formatCode="_-[$£-809]* #,##0.00_-;\-[$£-809]* #,##0.00_-;_-[$£-809]* &quot;-&quot;??_-;_-@_-"/>
    <numFmt numFmtId="166" formatCode="0.0%"/>
    <numFmt numFmtId="167" formatCode="[$-409]dd\-mmm\-yy;@"/>
    <numFmt numFmtId="168" formatCode="0.00_)"/>
    <numFmt numFmtId="169" formatCode="0_)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color rgb="FF00206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Marlett"/>
      <charset val="2"/>
    </font>
    <font>
      <b/>
      <i/>
      <sz val="10"/>
      <color indexed="10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11"/>
      <color rgb="FFFF0000"/>
      <name val="Comic Sans MS"/>
      <family val="4"/>
    </font>
    <font>
      <b/>
      <sz val="11"/>
      <color indexed="10"/>
      <name val="Comic Sans MS"/>
      <family val="4"/>
    </font>
    <font>
      <b/>
      <sz val="9"/>
      <name val="Comic Sans MS"/>
      <family val="4"/>
    </font>
    <font>
      <b/>
      <sz val="12"/>
      <name val="Marlett"/>
      <charset val="2"/>
    </font>
    <font>
      <sz val="11"/>
      <color indexed="12"/>
      <name val="Comic Sans MS"/>
      <family val="4"/>
    </font>
    <font>
      <b/>
      <sz val="12"/>
      <color indexed="10"/>
      <name val="Marlett"/>
      <charset val="2"/>
    </font>
    <font>
      <sz val="11"/>
      <color indexed="10"/>
      <name val="Comic Sans MS"/>
      <family val="4"/>
    </font>
    <font>
      <sz val="12"/>
      <name val="Marlett"/>
      <charset val="2"/>
    </font>
    <font>
      <i/>
      <sz val="11"/>
      <name val="Comic Sans MS"/>
      <family val="4"/>
    </font>
    <font>
      <b/>
      <sz val="11"/>
      <color rgb="FF002060"/>
      <name val="Comic Sans MS"/>
      <family val="4"/>
    </font>
    <font>
      <b/>
      <sz val="9"/>
      <color rgb="FF002060"/>
      <name val="Comic Sans MS"/>
      <family val="4"/>
    </font>
    <font>
      <sz val="11"/>
      <color rgb="FFFF0000"/>
      <name val="Comic Sans MS"/>
      <family val="4"/>
    </font>
    <font>
      <b/>
      <sz val="11"/>
      <color rgb="FF92D050"/>
      <name val="Comic Sans MS"/>
      <family val="4"/>
    </font>
    <font>
      <b/>
      <sz val="11"/>
      <name val="Marlett"/>
      <charset val="2"/>
    </font>
    <font>
      <sz val="11"/>
      <name val="Marlett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i/>
      <sz val="1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FF"/>
      <name val="Comic Sans MS"/>
      <family val="4"/>
    </font>
    <font>
      <b/>
      <sz val="11"/>
      <color rgb="FF0000FF"/>
      <name val="Comic Sans MS"/>
      <family val="4"/>
    </font>
    <font>
      <i/>
      <sz val="11"/>
      <color theme="4" tint="-0.499984740745262"/>
      <name val="Comic Sans MS"/>
      <family val="4"/>
    </font>
    <font>
      <b/>
      <u/>
      <sz val="11"/>
      <name val="Comic Sans MS"/>
      <family val="4"/>
    </font>
    <font>
      <b/>
      <i/>
      <sz val="11"/>
      <name val="Comic Sans MS"/>
      <family val="4"/>
    </font>
    <font>
      <b/>
      <i/>
      <sz val="11"/>
      <color rgb="FF002060"/>
      <name val="Comic Sans MS"/>
      <family val="4"/>
    </font>
    <font>
      <b/>
      <strike/>
      <sz val="10"/>
      <name val="Calibri"/>
      <family val="2"/>
      <scheme val="minor"/>
    </font>
    <font>
      <i/>
      <strike/>
      <sz val="10"/>
      <name val="Arial"/>
      <family val="2"/>
    </font>
    <font>
      <b/>
      <i/>
      <strike/>
      <sz val="10"/>
      <name val="Arial"/>
      <family val="2"/>
    </font>
    <font>
      <b/>
      <i/>
      <strike/>
      <sz val="10"/>
      <color rgb="FF002060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-0.249977111117893"/>
      <name val="Comic Sans MS"/>
      <family val="4"/>
    </font>
    <font>
      <b/>
      <sz val="11"/>
      <color theme="7" tint="-0.249977111117893"/>
      <name val="Comic Sans MS"/>
      <family val="4"/>
    </font>
    <font>
      <sz val="11"/>
      <color theme="7" tint="-0.249977111117893"/>
      <name val="Marlett"/>
      <charset val="2"/>
    </font>
    <font>
      <b/>
      <sz val="11"/>
      <color rgb="FF00B050"/>
      <name val="Comic Sans MS"/>
      <family val="4"/>
    </font>
    <font>
      <sz val="11"/>
      <color rgb="FF00B050"/>
      <name val="Comic Sans MS"/>
      <family val="4"/>
    </font>
    <font>
      <sz val="11"/>
      <color rgb="FF00B050"/>
      <name val="Marlett"/>
      <charset val="2"/>
    </font>
    <font>
      <b/>
      <sz val="11"/>
      <color theme="5"/>
      <name val="Comic Sans MS"/>
      <family val="4"/>
    </font>
    <font>
      <sz val="11"/>
      <color theme="5"/>
      <name val="Comic Sans MS"/>
      <family val="4"/>
    </font>
    <font>
      <sz val="11"/>
      <color theme="5"/>
      <name val="Marlett"/>
      <charset val="2"/>
    </font>
    <font>
      <sz val="11"/>
      <name val="Calibri"/>
      <family val="2"/>
      <scheme val="minor"/>
    </font>
    <font>
      <sz val="24"/>
      <name val="Times New Roman"/>
      <family val="1"/>
    </font>
    <font>
      <b/>
      <sz val="14"/>
      <name val="Marlett"/>
      <charset val="2"/>
    </font>
    <font>
      <sz val="14"/>
      <name val="Marlett"/>
      <charset val="2"/>
    </font>
    <font>
      <i/>
      <sz val="11"/>
      <color rgb="FF002060"/>
      <name val="Comic Sans MS"/>
      <family val="4"/>
    </font>
    <font>
      <b/>
      <sz val="11"/>
      <color rgb="FF0000FF"/>
      <name val="Calibri"/>
      <family val="2"/>
      <scheme val="minor"/>
    </font>
    <font>
      <i/>
      <sz val="10"/>
      <color theme="1"/>
      <name val="Arial"/>
      <family val="2"/>
    </font>
    <font>
      <sz val="11"/>
      <color indexed="8"/>
      <name val="Arial MT"/>
    </font>
    <font>
      <b/>
      <sz val="11"/>
      <color indexed="8"/>
      <name val="Arial MT"/>
    </font>
    <font>
      <sz val="11"/>
      <name val="Arial MT"/>
    </font>
    <font>
      <b/>
      <sz val="12"/>
      <name val="Arial"/>
      <family val="2"/>
    </font>
    <font>
      <sz val="12"/>
      <name val="Arial MT"/>
    </font>
    <font>
      <sz val="12"/>
      <name val="Arial"/>
      <family val="2"/>
    </font>
    <font>
      <sz val="11"/>
      <color rgb="FF7030A0"/>
      <name val="Calibri"/>
      <family val="2"/>
      <scheme val="minor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55"/>
        <bgColor indexed="22"/>
      </patternFill>
    </fill>
    <fill>
      <patternFill patternType="lightUp">
        <fgColor indexed="55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fgColor indexed="55"/>
        <bgColor theme="0" tint="-0.249977111117893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lightUp">
        <fgColor theme="0" tint="-0.34998626667073579"/>
        <bgColor rgb="FFFFFF00"/>
      </patternFill>
    </fill>
    <fill>
      <patternFill patternType="lightUp">
        <fgColor indexed="55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lightUp">
        <fgColor indexed="55"/>
        <bgColor auto="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6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ck">
        <color rgb="FFFF0000"/>
      </right>
      <top/>
      <bottom style="thin">
        <color auto="1"/>
      </bottom>
      <diagonal/>
    </border>
    <border>
      <left style="medium">
        <color rgb="FFFF0000"/>
      </left>
      <right style="thick">
        <color rgb="FFFF0000"/>
      </right>
      <top style="thin">
        <color auto="1"/>
      </top>
      <bottom style="double">
        <color auto="1"/>
      </bottom>
      <diagonal/>
    </border>
    <border>
      <left style="medium">
        <color rgb="FFFF0000"/>
      </left>
      <right style="thick">
        <color rgb="FFFF0000"/>
      </right>
      <top style="double">
        <color auto="1"/>
      </top>
      <bottom style="thin">
        <color auto="1"/>
      </bottom>
      <diagonal/>
    </border>
    <border>
      <left style="medium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ck">
        <color rgb="FFFF0000"/>
      </right>
      <top style="thin">
        <color auto="1"/>
      </top>
      <bottom/>
      <diagonal/>
    </border>
    <border>
      <left style="medium">
        <color rgb="FFFF0000"/>
      </left>
      <right style="thick">
        <color rgb="FFFF0000"/>
      </right>
      <top style="medium">
        <color auto="1"/>
      </top>
      <bottom style="double">
        <color auto="1"/>
      </bottom>
      <diagonal/>
    </border>
    <border>
      <left style="medium">
        <color rgb="FFFF0000"/>
      </left>
      <right style="thick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ck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thick">
        <color rgb="FFFF0000"/>
      </right>
      <top/>
      <bottom/>
      <diagonal/>
    </border>
    <border>
      <left style="medium">
        <color rgb="FFFF0000"/>
      </left>
      <right style="thick">
        <color rgb="FFFF0000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 style="thick">
        <color rgb="FFFF0000"/>
      </right>
      <top/>
      <bottom style="double">
        <color auto="1"/>
      </bottom>
      <diagonal/>
    </border>
    <border>
      <left style="medium">
        <color rgb="FFFF0000"/>
      </left>
      <right style="thick">
        <color rgb="FFFF0000"/>
      </right>
      <top style="double">
        <color auto="1"/>
      </top>
      <bottom style="thick">
        <color rgb="FFFF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76" fillId="0" borderId="0"/>
    <xf numFmtId="169" fontId="76" fillId="0" borderId="0"/>
  </cellStyleXfs>
  <cellXfs count="1229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5" borderId="9" xfId="0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9" fillId="0" borderId="37" xfId="0" applyNumberFormat="1" applyFont="1" applyBorder="1" applyAlignment="1">
      <alignment horizontal="center"/>
    </xf>
    <xf numFmtId="0" fontId="0" fillId="0" borderId="39" xfId="0" applyFill="1" applyBorder="1"/>
    <xf numFmtId="164" fontId="0" fillId="0" borderId="43" xfId="0" applyNumberFormat="1" applyFill="1" applyBorder="1"/>
    <xf numFmtId="164" fontId="0" fillId="6" borderId="38" xfId="0" applyNumberFormat="1" applyFill="1" applyBorder="1"/>
    <xf numFmtId="164" fontId="0" fillId="0" borderId="44" xfId="0" applyNumberFormat="1" applyFill="1" applyBorder="1"/>
    <xf numFmtId="164" fontId="10" fillId="0" borderId="45" xfId="0" applyNumberFormat="1" applyFont="1" applyFill="1" applyBorder="1"/>
    <xf numFmtId="164" fontId="0" fillId="0" borderId="38" xfId="0" applyNumberFormat="1" applyFill="1" applyBorder="1"/>
    <xf numFmtId="164" fontId="0" fillId="0" borderId="46" xfId="0" applyNumberFormat="1" applyFill="1" applyBorder="1"/>
    <xf numFmtId="0" fontId="11" fillId="0" borderId="0" xfId="0" applyFont="1" applyAlignment="1">
      <alignment horizontal="center"/>
    </xf>
    <xf numFmtId="2" fontId="9" fillId="0" borderId="22" xfId="0" applyNumberFormat="1" applyFont="1" applyBorder="1" applyAlignment="1">
      <alignment horizontal="center"/>
    </xf>
    <xf numFmtId="0" fontId="0" fillId="0" borderId="23" xfId="0" applyFill="1" applyBorder="1"/>
    <xf numFmtId="164" fontId="0" fillId="0" borderId="17" xfId="0" applyNumberFormat="1" applyFill="1" applyBorder="1"/>
    <xf numFmtId="164" fontId="0" fillId="6" borderId="20" xfId="0" applyNumberFormat="1" applyFill="1" applyBorder="1"/>
    <xf numFmtId="164" fontId="0" fillId="0" borderId="14" xfId="0" applyNumberFormat="1" applyFill="1" applyBorder="1"/>
    <xf numFmtId="164" fontId="0" fillId="0" borderId="18" xfId="0" applyNumberFormat="1" applyFill="1" applyBorder="1"/>
    <xf numFmtId="164" fontId="10" fillId="0" borderId="19" xfId="0" applyNumberFormat="1" applyFont="1" applyFill="1" applyBorder="1"/>
    <xf numFmtId="164" fontId="0" fillId="0" borderId="20" xfId="0" applyNumberFormat="1" applyFill="1" applyBorder="1"/>
    <xf numFmtId="164" fontId="0" fillId="0" borderId="21" xfId="0" applyNumberFormat="1" applyFill="1" applyBorder="1"/>
    <xf numFmtId="0" fontId="12" fillId="0" borderId="0" xfId="0" applyFont="1"/>
    <xf numFmtId="2" fontId="2" fillId="0" borderId="53" xfId="0" applyNumberFormat="1" applyFont="1" applyBorder="1" applyAlignment="1">
      <alignment horizontal="center"/>
    </xf>
    <xf numFmtId="0" fontId="2" fillId="0" borderId="54" xfId="0" applyFont="1" applyFill="1" applyBorder="1"/>
    <xf numFmtId="164" fontId="2" fillId="0" borderId="55" xfId="0" applyNumberFormat="1" applyFont="1" applyFill="1" applyBorder="1"/>
    <xf numFmtId="164" fontId="2" fillId="0" borderId="58" xfId="0" applyNumberFormat="1" applyFont="1" applyFill="1" applyBorder="1"/>
    <xf numFmtId="164" fontId="2" fillId="0" borderId="59" xfId="0" applyNumberFormat="1" applyFont="1" applyFill="1" applyBorder="1"/>
    <xf numFmtId="164" fontId="14" fillId="0" borderId="60" xfId="0" applyNumberFormat="1" applyFont="1" applyFill="1" applyBorder="1"/>
    <xf numFmtId="164" fontId="2" fillId="0" borderId="61" xfId="0" applyNumberFormat="1" applyFont="1" applyFill="1" applyBorder="1"/>
    <xf numFmtId="164" fontId="2" fillId="6" borderId="61" xfId="0" applyNumberFormat="1" applyFont="1" applyFill="1" applyBorder="1"/>
    <xf numFmtId="164" fontId="2" fillId="0" borderId="62" xfId="0" applyNumberFormat="1" applyFont="1" applyFill="1" applyBorder="1"/>
    <xf numFmtId="0" fontId="15" fillId="0" borderId="0" xfId="0" applyFont="1" applyAlignment="1">
      <alignment horizontal="left"/>
    </xf>
    <xf numFmtId="2" fontId="9" fillId="0" borderId="64" xfId="0" applyNumberFormat="1" applyFont="1" applyBorder="1" applyAlignment="1">
      <alignment horizontal="center"/>
    </xf>
    <xf numFmtId="0" fontId="16" fillId="0" borderId="66" xfId="0" applyFont="1" applyBorder="1"/>
    <xf numFmtId="164" fontId="17" fillId="0" borderId="67" xfId="0" applyNumberFormat="1" applyFont="1" applyBorder="1"/>
    <xf numFmtId="164" fontId="0" fillId="6" borderId="68" xfId="0" applyNumberFormat="1" applyFill="1" applyBorder="1"/>
    <xf numFmtId="164" fontId="0" fillId="6" borderId="69" xfId="0" applyNumberFormat="1" applyFill="1" applyBorder="1"/>
    <xf numFmtId="164" fontId="17" fillId="6" borderId="70" xfId="0" applyNumberFormat="1" applyFont="1" applyFill="1" applyBorder="1"/>
    <xf numFmtId="164" fontId="17" fillId="0" borderId="65" xfId="0" applyNumberFormat="1" applyFont="1" applyBorder="1"/>
    <xf numFmtId="164" fontId="17" fillId="6" borderId="65" xfId="0" applyNumberFormat="1" applyFont="1" applyFill="1" applyBorder="1"/>
    <xf numFmtId="0" fontId="18" fillId="0" borderId="23" xfId="0" applyFont="1" applyBorder="1"/>
    <xf numFmtId="164" fontId="19" fillId="0" borderId="14" xfId="0" applyNumberFormat="1" applyFont="1" applyBorder="1"/>
    <xf numFmtId="164" fontId="0" fillId="6" borderId="17" xfId="0" applyNumberFormat="1" applyFill="1" applyBorder="1"/>
    <xf numFmtId="164" fontId="19" fillId="6" borderId="18" xfId="0" applyNumberFormat="1" applyFont="1" applyFill="1" applyBorder="1"/>
    <xf numFmtId="164" fontId="19" fillId="6" borderId="19" xfId="0" applyNumberFormat="1" applyFont="1" applyFill="1" applyBorder="1"/>
    <xf numFmtId="164" fontId="19" fillId="0" borderId="20" xfId="0" applyNumberFormat="1" applyFont="1" applyBorder="1"/>
    <xf numFmtId="164" fontId="19" fillId="6" borderId="20" xfId="0" applyNumberFormat="1" applyFont="1" applyFill="1" applyBorder="1"/>
    <xf numFmtId="0" fontId="0" fillId="0" borderId="23" xfId="0" applyBorder="1"/>
    <xf numFmtId="9" fontId="0" fillId="6" borderId="14" xfId="2" applyFont="1" applyFill="1" applyBorder="1"/>
    <xf numFmtId="9" fontId="0" fillId="0" borderId="17" xfId="2" applyFont="1" applyBorder="1"/>
    <xf numFmtId="9" fontId="0" fillId="6" borderId="19" xfId="2" applyFont="1" applyFill="1" applyBorder="1"/>
    <xf numFmtId="2" fontId="9" fillId="0" borderId="73" xfId="0" applyNumberFormat="1" applyFont="1" applyBorder="1" applyAlignment="1">
      <alignment horizontal="center"/>
    </xf>
    <xf numFmtId="9" fontId="0" fillId="0" borderId="75" xfId="2" applyFont="1" applyBorder="1"/>
    <xf numFmtId="9" fontId="0" fillId="0" borderId="76" xfId="2" applyFont="1" applyBorder="1"/>
    <xf numFmtId="9" fontId="0" fillId="6" borderId="77" xfId="2" applyFont="1" applyFill="1" applyBorder="1"/>
    <xf numFmtId="9" fontId="0" fillId="6" borderId="78" xfId="2" applyFont="1" applyFill="1" applyBorder="1"/>
    <xf numFmtId="9" fontId="0" fillId="6" borderId="79" xfId="2" applyFont="1" applyFill="1" applyBorder="1"/>
    <xf numFmtId="9" fontId="0" fillId="0" borderId="74" xfId="2" applyFont="1" applyBorder="1"/>
    <xf numFmtId="9" fontId="0" fillId="6" borderId="74" xfId="2" applyFont="1" applyFill="1" applyBorder="1"/>
    <xf numFmtId="9" fontId="0" fillId="0" borderId="0" xfId="2" applyFont="1"/>
    <xf numFmtId="9" fontId="4" fillId="0" borderId="0" xfId="2" applyFont="1" applyAlignment="1">
      <alignment horizontal="left"/>
    </xf>
    <xf numFmtId="164" fontId="0" fillId="0" borderId="0" xfId="0" applyNumberFormat="1"/>
    <xf numFmtId="164" fontId="0" fillId="0" borderId="0" xfId="0" applyNumberFormat="1" applyFill="1"/>
    <xf numFmtId="0" fontId="2" fillId="4" borderId="82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0" fillId="0" borderId="66" xfId="0" applyBorder="1"/>
    <xf numFmtId="164" fontId="0" fillId="0" borderId="68" xfId="0" applyNumberFormat="1" applyFill="1" applyBorder="1"/>
    <xf numFmtId="164" fontId="0" fillId="0" borderId="84" xfId="0" applyNumberFormat="1" applyBorder="1"/>
    <xf numFmtId="164" fontId="0" fillId="0" borderId="47" xfId="0" applyNumberFormat="1" applyBorder="1"/>
    <xf numFmtId="2" fontId="9" fillId="0" borderId="85" xfId="0" applyNumberFormat="1" applyFont="1" applyBorder="1" applyAlignment="1">
      <alignment horizontal="center"/>
    </xf>
    <xf numFmtId="0" fontId="0" fillId="0" borderId="86" xfId="0" applyBorder="1"/>
    <xf numFmtId="164" fontId="0" fillId="0" borderId="52" xfId="0" applyNumberFormat="1" applyBorder="1"/>
    <xf numFmtId="2" fontId="9" fillId="0" borderId="53" xfId="0" applyNumberFormat="1" applyFont="1" applyBorder="1" applyAlignment="1">
      <alignment horizontal="center"/>
    </xf>
    <xf numFmtId="0" fontId="2" fillId="0" borderId="54" xfId="0" applyFont="1" applyBorder="1"/>
    <xf numFmtId="2" fontId="9" fillId="0" borderId="90" xfId="0" applyNumberFormat="1" applyFont="1" applyBorder="1" applyAlignment="1">
      <alignment horizontal="center"/>
    </xf>
    <xf numFmtId="0" fontId="2" fillId="0" borderId="91" xfId="0" applyFont="1" applyBorder="1"/>
    <xf numFmtId="0" fontId="0" fillId="0" borderId="92" xfId="0" applyBorder="1"/>
    <xf numFmtId="164" fontId="0" fillId="6" borderId="94" xfId="0" applyNumberFormat="1" applyFill="1" applyBorder="1"/>
    <xf numFmtId="164" fontId="0" fillId="0" borderId="97" xfId="0" applyNumberFormat="1" applyFill="1" applyBorder="1"/>
    <xf numFmtId="164" fontId="0" fillId="6" borderId="91" xfId="0" applyNumberFormat="1" applyFill="1" applyBorder="1"/>
    <xf numFmtId="164" fontId="0" fillId="6" borderId="98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39" xfId="0" applyBorder="1"/>
    <xf numFmtId="164" fontId="0" fillId="0" borderId="17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2" fontId="9" fillId="0" borderId="102" xfId="0" applyNumberFormat="1" applyFont="1" applyBorder="1" applyAlignment="1">
      <alignment horizontal="center"/>
    </xf>
    <xf numFmtId="0" fontId="0" fillId="0" borderId="103" xfId="0" applyBorder="1"/>
    <xf numFmtId="164" fontId="0" fillId="0" borderId="104" xfId="0" applyNumberFormat="1" applyBorder="1"/>
    <xf numFmtId="164" fontId="0" fillId="0" borderId="87" xfId="0" applyNumberFormat="1" applyBorder="1"/>
    <xf numFmtId="164" fontId="0" fillId="0" borderId="88" xfId="0" applyNumberFormat="1" applyBorder="1"/>
    <xf numFmtId="164" fontId="0" fillId="0" borderId="89" xfId="0" applyNumberFormat="1" applyBorder="1"/>
    <xf numFmtId="164" fontId="0" fillId="0" borderId="58" xfId="0" applyNumberFormat="1" applyBorder="1"/>
    <xf numFmtId="164" fontId="0" fillId="0" borderId="55" xfId="0" applyNumberFormat="1" applyBorder="1"/>
    <xf numFmtId="164" fontId="0" fillId="0" borderId="56" xfId="0" applyNumberFormat="1" applyBorder="1"/>
    <xf numFmtId="164" fontId="0" fillId="0" borderId="57" xfId="0" applyNumberFormat="1" applyBorder="1"/>
    <xf numFmtId="164" fontId="0" fillId="0" borderId="63" xfId="0" applyNumberFormat="1" applyBorder="1"/>
    <xf numFmtId="0" fontId="2" fillId="0" borderId="65" xfId="0" applyFont="1" applyBorder="1"/>
    <xf numFmtId="164" fontId="0" fillId="0" borderId="67" xfId="0" applyNumberFormat="1" applyFill="1" applyBorder="1"/>
    <xf numFmtId="164" fontId="0" fillId="0" borderId="71" xfId="0" applyNumberFormat="1" applyFill="1" applyBorder="1"/>
    <xf numFmtId="0" fontId="9" fillId="0" borderId="73" xfId="0" applyFont="1" applyBorder="1" applyAlignment="1">
      <alignment horizontal="center"/>
    </xf>
    <xf numFmtId="0" fontId="0" fillId="0" borderId="74" xfId="0" applyBorder="1"/>
    <xf numFmtId="0" fontId="0" fillId="0" borderId="75" xfId="0" applyBorder="1"/>
    <xf numFmtId="0" fontId="9" fillId="4" borderId="110" xfId="0" applyFont="1" applyFill="1" applyBorder="1" applyAlignment="1">
      <alignment horizontal="center" vertical="center" wrapText="1"/>
    </xf>
    <xf numFmtId="0" fontId="2" fillId="0" borderId="111" xfId="0" applyFont="1" applyBorder="1"/>
    <xf numFmtId="0" fontId="0" fillId="0" borderId="112" xfId="0" applyBorder="1"/>
    <xf numFmtId="164" fontId="0" fillId="0" borderId="112" xfId="1" applyFont="1" applyBorder="1"/>
    <xf numFmtId="164" fontId="0" fillId="0" borderId="0" xfId="1" applyFont="1"/>
    <xf numFmtId="0" fontId="2" fillId="0" borderId="101" xfId="0" applyFont="1" applyBorder="1"/>
    <xf numFmtId="164" fontId="0" fillId="0" borderId="114" xfId="1" applyFont="1" applyFill="1" applyBorder="1"/>
    <xf numFmtId="164" fontId="0" fillId="0" borderId="17" xfId="1" applyFont="1" applyFill="1" applyBorder="1"/>
    <xf numFmtId="164" fontId="0" fillId="0" borderId="116" xfId="1" applyFont="1" applyFill="1" applyBorder="1"/>
    <xf numFmtId="0" fontId="2" fillId="0" borderId="117" xfId="0" applyFont="1" applyBorder="1"/>
    <xf numFmtId="164" fontId="2" fillId="0" borderId="119" xfId="1" applyFont="1" applyFill="1" applyBorder="1"/>
    <xf numFmtId="164" fontId="0" fillId="0" borderId="112" xfId="1" applyFont="1" applyFill="1" applyBorder="1"/>
    <xf numFmtId="2" fontId="9" fillId="0" borderId="120" xfId="0" applyNumberFormat="1" applyFont="1" applyBorder="1" applyAlignment="1">
      <alignment horizontal="center"/>
    </xf>
    <xf numFmtId="0" fontId="2" fillId="0" borderId="121" xfId="0" applyFont="1" applyBorder="1"/>
    <xf numFmtId="164" fontId="2" fillId="0" borderId="123" xfId="1" applyFont="1" applyFill="1" applyBorder="1"/>
    <xf numFmtId="0" fontId="0" fillId="0" borderId="126" xfId="0" applyBorder="1"/>
    <xf numFmtId="164" fontId="2" fillId="0" borderId="123" xfId="1" applyFont="1" applyBorder="1"/>
    <xf numFmtId="164" fontId="2" fillId="0" borderId="124" xfId="1" applyFont="1" applyBorder="1"/>
    <xf numFmtId="9" fontId="0" fillId="6" borderId="94" xfId="2" applyFont="1" applyFill="1" applyBorder="1" applyAlignment="1">
      <alignment horizontal="center"/>
    </xf>
    <xf numFmtId="164" fontId="0" fillId="0" borderId="0" xfId="1" applyFont="1" applyFill="1"/>
    <xf numFmtId="0" fontId="9" fillId="0" borderId="0" xfId="0" applyFont="1"/>
    <xf numFmtId="0" fontId="20" fillId="0" borderId="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5" fontId="21" fillId="0" borderId="0" xfId="1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1" fillId="0" borderId="0" xfId="1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20" xfId="0" applyFont="1" applyBorder="1" applyAlignment="1">
      <alignment horizontal="center" wrapText="1"/>
    </xf>
    <xf numFmtId="0" fontId="21" fillId="0" borderId="20" xfId="0" applyFont="1" applyBorder="1" applyAlignment="1">
      <alignment horizontal="left" wrapText="1"/>
    </xf>
    <xf numFmtId="0" fontId="21" fillId="0" borderId="2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165" fontId="21" fillId="0" borderId="0" xfId="1" applyNumberFormat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164" fontId="21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2" fontId="24" fillId="0" borderId="20" xfId="0" applyNumberFormat="1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left"/>
    </xf>
    <xf numFmtId="2" fontId="24" fillId="0" borderId="23" xfId="0" applyNumberFormat="1" applyFont="1" applyFill="1" applyBorder="1" applyAlignment="1">
      <alignment horizontal="center"/>
    </xf>
    <xf numFmtId="2" fontId="24" fillId="0" borderId="15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2" fontId="21" fillId="7" borderId="20" xfId="0" applyNumberFormat="1" applyFont="1" applyFill="1" applyBorder="1" applyAlignment="1">
      <alignment horizontal="center"/>
    </xf>
    <xf numFmtId="16" fontId="21" fillId="7" borderId="20" xfId="0" applyNumberFormat="1" applyFont="1" applyFill="1" applyBorder="1" applyAlignment="1">
      <alignment horizontal="center"/>
    </xf>
    <xf numFmtId="16" fontId="21" fillId="7" borderId="20" xfId="0" applyNumberFormat="1" applyFont="1" applyFill="1" applyBorder="1" applyAlignment="1">
      <alignment horizontal="left"/>
    </xf>
    <xf numFmtId="0" fontId="21" fillId="7" borderId="20" xfId="0" applyFont="1" applyFill="1" applyBorder="1" applyAlignment="1">
      <alignment horizontal="left"/>
    </xf>
    <xf numFmtId="0" fontId="21" fillId="7" borderId="20" xfId="0" applyFont="1" applyFill="1" applyBorder="1" applyAlignment="1">
      <alignment horizontal="center"/>
    </xf>
    <xf numFmtId="2" fontId="21" fillId="7" borderId="23" xfId="0" applyNumberFormat="1" applyFont="1" applyFill="1" applyBorder="1" applyAlignment="1">
      <alignment horizontal="center"/>
    </xf>
    <xf numFmtId="2" fontId="21" fillId="7" borderId="15" xfId="0" applyNumberFormat="1" applyFont="1" applyFill="1" applyBorder="1" applyAlignment="1">
      <alignment horizontal="center"/>
    </xf>
    <xf numFmtId="2" fontId="22" fillId="7" borderId="20" xfId="0" applyNumberFormat="1" applyFont="1" applyFill="1" applyBorder="1" applyAlignment="1">
      <alignment horizontal="center"/>
    </xf>
    <xf numFmtId="2" fontId="21" fillId="7" borderId="20" xfId="0" applyNumberFormat="1" applyFont="1" applyFill="1" applyBorder="1" applyAlignment="1"/>
    <xf numFmtId="2" fontId="21" fillId="2" borderId="20" xfId="0" applyNumberFormat="1" applyFont="1" applyFill="1" applyBorder="1" applyAlignment="1">
      <alignment horizontal="center"/>
    </xf>
    <xf numFmtId="16" fontId="21" fillId="2" borderId="20" xfId="0" applyNumberFormat="1" applyFont="1" applyFill="1" applyBorder="1" applyAlignment="1">
      <alignment horizontal="center"/>
    </xf>
    <xf numFmtId="16" fontId="21" fillId="2" borderId="20" xfId="0" applyNumberFormat="1" applyFont="1" applyFill="1" applyBorder="1" applyAlignment="1">
      <alignment horizontal="left"/>
    </xf>
    <xf numFmtId="0" fontId="21" fillId="2" borderId="20" xfId="0" applyFont="1" applyFill="1" applyBorder="1" applyAlignment="1">
      <alignment horizontal="left"/>
    </xf>
    <xf numFmtId="0" fontId="21" fillId="2" borderId="20" xfId="0" applyFont="1" applyFill="1" applyBorder="1" applyAlignment="1">
      <alignment horizontal="center"/>
    </xf>
    <xf numFmtId="4" fontId="21" fillId="2" borderId="20" xfId="0" applyNumberFormat="1" applyFont="1" applyFill="1" applyBorder="1" applyAlignment="1">
      <alignment horizontal="center"/>
    </xf>
    <xf numFmtId="2" fontId="21" fillId="2" borderId="23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1" fillId="2" borderId="20" xfId="0" applyNumberFormat="1" applyFont="1" applyFill="1" applyBorder="1" applyAlignment="1"/>
    <xf numFmtId="2" fontId="22" fillId="2" borderId="20" xfId="0" applyNumberFormat="1" applyFont="1" applyFill="1" applyBorder="1" applyAlignment="1"/>
    <xf numFmtId="0" fontId="6" fillId="2" borderId="2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2" fontId="21" fillId="0" borderId="38" xfId="0" applyNumberFormat="1" applyFont="1" applyFill="1" applyBorder="1" applyAlignment="1">
      <alignment horizontal="center"/>
    </xf>
    <xf numFmtId="16" fontId="21" fillId="0" borderId="38" xfId="0" applyNumberFormat="1" applyFont="1" applyFill="1" applyBorder="1" applyAlignment="1">
      <alignment horizontal="center"/>
    </xf>
    <xf numFmtId="16" fontId="21" fillId="0" borderId="38" xfId="0" applyNumberFormat="1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center"/>
    </xf>
    <xf numFmtId="2" fontId="21" fillId="0" borderId="39" xfId="0" applyNumberFormat="1" applyFont="1" applyFill="1" applyBorder="1" applyAlignment="1">
      <alignment horizontal="center"/>
    </xf>
    <xf numFmtId="2" fontId="21" fillId="0" borderId="41" xfId="0" applyNumberFormat="1" applyFont="1" applyFill="1" applyBorder="1" applyAlignment="1">
      <alignment horizontal="center"/>
    </xf>
    <xf numFmtId="2" fontId="21" fillId="0" borderId="38" xfId="0" applyNumberFormat="1" applyFont="1" applyFill="1" applyBorder="1" applyAlignment="1">
      <alignment horizontal="right"/>
    </xf>
    <xf numFmtId="2" fontId="21" fillId="0" borderId="38" xfId="0" applyNumberFormat="1" applyFont="1" applyFill="1" applyBorder="1" applyAlignment="1"/>
    <xf numFmtId="2" fontId="21" fillId="0" borderId="20" xfId="0" applyNumberFormat="1" applyFont="1" applyFill="1" applyBorder="1" applyAlignment="1">
      <alignment horizontal="center"/>
    </xf>
    <xf numFmtId="16" fontId="21" fillId="0" borderId="20" xfId="0" applyNumberFormat="1" applyFont="1" applyFill="1" applyBorder="1" applyAlignment="1">
      <alignment horizontal="center"/>
    </xf>
    <xf numFmtId="16" fontId="21" fillId="0" borderId="20" xfId="0" applyNumberFormat="1" applyFont="1" applyFill="1" applyBorder="1" applyAlignment="1">
      <alignment horizontal="left"/>
    </xf>
    <xf numFmtId="0" fontId="21" fillId="0" borderId="20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center"/>
    </xf>
    <xf numFmtId="4" fontId="21" fillId="0" borderId="20" xfId="0" applyNumberFormat="1" applyFont="1" applyFill="1" applyBorder="1" applyAlignment="1">
      <alignment horizontal="center"/>
    </xf>
    <xf numFmtId="2" fontId="21" fillId="0" borderId="23" xfId="0" applyNumberFormat="1" applyFont="1" applyFill="1" applyBorder="1" applyAlignment="1">
      <alignment horizontal="center"/>
    </xf>
    <xf numFmtId="2" fontId="21" fillId="0" borderId="15" xfId="0" applyNumberFormat="1" applyFont="1" applyFill="1" applyBorder="1" applyAlignment="1">
      <alignment horizontal="center"/>
    </xf>
    <xf numFmtId="2" fontId="21" fillId="0" borderId="20" xfId="0" applyNumberFormat="1" applyFont="1" applyFill="1" applyBorder="1" applyAlignment="1"/>
    <xf numFmtId="0" fontId="6" fillId="0" borderId="20" xfId="0" applyFont="1" applyFill="1" applyBorder="1" applyAlignment="1">
      <alignment horizontal="center"/>
    </xf>
    <xf numFmtId="2" fontId="21" fillId="0" borderId="15" xfId="0" applyNumberFormat="1" applyFont="1" applyFill="1" applyBorder="1" applyAlignment="1">
      <alignment horizontal="right"/>
    </xf>
    <xf numFmtId="16" fontId="21" fillId="0" borderId="20" xfId="0" applyNumberFormat="1" applyFont="1" applyFill="1" applyBorder="1" applyAlignment="1">
      <alignment horizontal="center" vertical="center"/>
    </xf>
    <xf numFmtId="16" fontId="21" fillId="0" borderId="20" xfId="0" applyNumberFormat="1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wrapText="1"/>
    </xf>
    <xf numFmtId="0" fontId="21" fillId="0" borderId="20" xfId="0" applyFont="1" applyFill="1" applyBorder="1"/>
    <xf numFmtId="0" fontId="21" fillId="0" borderId="23" xfId="0" applyFont="1" applyFill="1" applyBorder="1"/>
    <xf numFmtId="4" fontId="21" fillId="8" borderId="15" xfId="0" applyNumberFormat="1" applyFont="1" applyFill="1" applyBorder="1" applyAlignment="1">
      <alignment horizontal="right"/>
    </xf>
    <xf numFmtId="39" fontId="21" fillId="0" borderId="20" xfId="1" applyNumberFormat="1" applyFont="1" applyFill="1" applyBorder="1"/>
    <xf numFmtId="0" fontId="21" fillId="0" borderId="20" xfId="0" applyFont="1" applyFill="1" applyBorder="1" applyAlignment="1"/>
    <xf numFmtId="4" fontId="21" fillId="0" borderId="15" xfId="0" applyNumberFormat="1" applyFont="1" applyFill="1" applyBorder="1"/>
    <xf numFmtId="0" fontId="21" fillId="3" borderId="20" xfId="0" applyFont="1" applyFill="1" applyBorder="1"/>
    <xf numFmtId="0" fontId="21" fillId="0" borderId="15" xfId="0" applyFont="1" applyFill="1" applyBorder="1"/>
    <xf numFmtId="39" fontId="21" fillId="9" borderId="20" xfId="0" applyNumberFormat="1" applyFont="1" applyFill="1" applyBorder="1" applyAlignment="1">
      <alignment horizontal="right"/>
    </xf>
    <xf numFmtId="2" fontId="21" fillId="10" borderId="20" xfId="0" applyNumberFormat="1" applyFont="1" applyFill="1" applyBorder="1" applyAlignment="1">
      <alignment horizontal="center"/>
    </xf>
    <xf numFmtId="39" fontId="21" fillId="0" borderId="15" xfId="1" applyNumberFormat="1" applyFont="1" applyFill="1" applyBorder="1" applyAlignment="1">
      <alignment horizontal="right"/>
    </xf>
    <xf numFmtId="2" fontId="21" fillId="0" borderId="20" xfId="0" applyNumberFormat="1" applyFont="1" applyFill="1" applyBorder="1"/>
    <xf numFmtId="2" fontId="21" fillId="9" borderId="20" xfId="0" applyNumberFormat="1" applyFont="1" applyFill="1" applyBorder="1" applyAlignment="1"/>
    <xf numFmtId="2" fontId="22" fillId="0" borderId="20" xfId="0" applyNumberFormat="1" applyFont="1" applyFill="1" applyBorder="1" applyAlignment="1">
      <alignment horizontal="center"/>
    </xf>
    <xf numFmtId="2" fontId="22" fillId="0" borderId="23" xfId="0" applyNumberFormat="1" applyFont="1" applyFill="1" applyBorder="1" applyAlignment="1">
      <alignment horizontal="center"/>
    </xf>
    <xf numFmtId="2" fontId="22" fillId="0" borderId="20" xfId="0" applyNumberFormat="1" applyFont="1" applyFill="1" applyBorder="1" applyAlignment="1"/>
    <xf numFmtId="0" fontId="21" fillId="0" borderId="2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2" fontId="21" fillId="0" borderId="129" xfId="0" applyNumberFormat="1" applyFont="1" applyFill="1" applyBorder="1" applyAlignment="1">
      <alignment horizontal="center"/>
    </xf>
    <xf numFmtId="16" fontId="21" fillId="0" borderId="129" xfId="0" applyNumberFormat="1" applyFont="1" applyFill="1" applyBorder="1" applyAlignment="1">
      <alignment horizontal="center"/>
    </xf>
    <xf numFmtId="16" fontId="21" fillId="0" borderId="34" xfId="0" applyNumberFormat="1" applyFont="1" applyFill="1" applyBorder="1" applyAlignment="1">
      <alignment horizontal="left"/>
    </xf>
    <xf numFmtId="0" fontId="21" fillId="0" borderId="29" xfId="0" applyFont="1" applyFill="1" applyBorder="1" applyAlignment="1">
      <alignment horizontal="left"/>
    </xf>
    <xf numFmtId="0" fontId="21" fillId="0" borderId="33" xfId="0" applyFont="1" applyFill="1" applyBorder="1" applyAlignment="1">
      <alignment horizontal="center"/>
    </xf>
    <xf numFmtId="2" fontId="21" fillId="0" borderId="33" xfId="0" applyNumberFormat="1" applyFont="1" applyFill="1" applyBorder="1" applyAlignment="1">
      <alignment horizontal="center"/>
    </xf>
    <xf numFmtId="39" fontId="21" fillId="0" borderId="29" xfId="1" applyNumberFormat="1" applyFont="1" applyFill="1" applyBorder="1" applyAlignment="1">
      <alignment horizontal="right"/>
    </xf>
    <xf numFmtId="2" fontId="21" fillId="0" borderId="33" xfId="0" applyNumberFormat="1" applyFont="1" applyFill="1" applyBorder="1" applyAlignment="1">
      <alignment horizontal="right"/>
    </xf>
    <xf numFmtId="0" fontId="22" fillId="0" borderId="33" xfId="0" applyFont="1" applyFill="1" applyBorder="1" applyAlignment="1">
      <alignment horizontal="center"/>
    </xf>
    <xf numFmtId="2" fontId="22" fillId="0" borderId="130" xfId="0" applyNumberFormat="1" applyFont="1" applyBorder="1" applyAlignment="1">
      <alignment horizontal="center"/>
    </xf>
    <xf numFmtId="0" fontId="22" fillId="0" borderId="130" xfId="0" applyFont="1" applyBorder="1" applyAlignment="1">
      <alignment horizontal="center"/>
    </xf>
    <xf numFmtId="0" fontId="22" fillId="0" borderId="131" xfId="0" applyFont="1" applyBorder="1" applyAlignment="1">
      <alignment horizontal="left"/>
    </xf>
    <xf numFmtId="0" fontId="22" fillId="0" borderId="132" xfId="0" applyFont="1" applyBorder="1" applyAlignment="1">
      <alignment horizontal="left"/>
    </xf>
    <xf numFmtId="0" fontId="21" fillId="0" borderId="132" xfId="0" applyFont="1" applyBorder="1" applyAlignment="1">
      <alignment horizontal="center"/>
    </xf>
    <xf numFmtId="2" fontId="22" fillId="0" borderId="132" xfId="0" applyNumberFormat="1" applyFont="1" applyBorder="1" applyAlignment="1">
      <alignment horizontal="center"/>
    </xf>
    <xf numFmtId="2" fontId="22" fillId="0" borderId="131" xfId="0" applyNumberFormat="1" applyFont="1" applyBorder="1" applyAlignment="1">
      <alignment horizontal="center"/>
    </xf>
    <xf numFmtId="2" fontId="22" fillId="9" borderId="132" xfId="0" applyNumberFormat="1" applyFont="1" applyFill="1" applyBorder="1" applyAlignment="1">
      <alignment horizontal="center"/>
    </xf>
    <xf numFmtId="0" fontId="22" fillId="0" borderId="133" xfId="0" applyFon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2" fontId="20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2" fillId="11" borderId="23" xfId="0" applyFont="1" applyFill="1" applyBorder="1" applyAlignment="1">
      <alignment horizontal="center"/>
    </xf>
    <xf numFmtId="0" fontId="5" fillId="11" borderId="20" xfId="0" applyFont="1" applyFill="1" applyBorder="1" applyAlignment="1">
      <alignment horizontal="center"/>
    </xf>
    <xf numFmtId="0" fontId="22" fillId="11" borderId="2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2" fillId="11" borderId="33" xfId="0" applyFont="1" applyFill="1" applyBorder="1" applyAlignment="1">
      <alignment horizontal="center" vertical="center" wrapText="1"/>
    </xf>
    <xf numFmtId="0" fontId="22" fillId="11" borderId="33" xfId="0" applyFont="1" applyFill="1" applyBorder="1" applyAlignment="1">
      <alignment horizontal="left" vertical="center" wrapText="1"/>
    </xf>
    <xf numFmtId="0" fontId="22" fillId="11" borderId="26" xfId="0" applyFont="1" applyFill="1" applyBorder="1" applyAlignment="1">
      <alignment horizontal="center" vertical="center" wrapText="1"/>
    </xf>
    <xf numFmtId="0" fontId="22" fillId="11" borderId="129" xfId="0" applyFont="1" applyFill="1" applyBorder="1" applyAlignment="1">
      <alignment horizontal="center" vertical="center" wrapText="1"/>
    </xf>
    <xf numFmtId="0" fontId="22" fillId="11" borderId="29" xfId="0" applyFont="1" applyFill="1" applyBorder="1" applyAlignment="1">
      <alignment horizontal="center" vertical="center" wrapText="1"/>
    </xf>
    <xf numFmtId="0" fontId="22" fillId="11" borderId="137" xfId="0" applyFont="1" applyFill="1" applyBorder="1" applyAlignment="1">
      <alignment horizontal="center" vertical="center" wrapText="1"/>
    </xf>
    <xf numFmtId="0" fontId="22" fillId="11" borderId="13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left"/>
    </xf>
    <xf numFmtId="0" fontId="24" fillId="0" borderId="42" xfId="0" applyFont="1" applyFill="1" applyBorder="1" applyAlignment="1">
      <alignment horizontal="left"/>
    </xf>
    <xf numFmtId="0" fontId="24" fillId="0" borderId="39" xfId="0" applyFont="1" applyFill="1" applyBorder="1" applyAlignment="1">
      <alignment horizontal="center"/>
    </xf>
    <xf numFmtId="2" fontId="24" fillId="0" borderId="41" xfId="0" applyNumberFormat="1" applyFont="1" applyFill="1" applyBorder="1" applyAlignment="1">
      <alignment horizontal="center"/>
    </xf>
    <xf numFmtId="2" fontId="24" fillId="0" borderId="38" xfId="0" applyNumberFormat="1" applyFont="1" applyFill="1" applyBorder="1" applyAlignment="1">
      <alignment horizontal="center"/>
    </xf>
    <xf numFmtId="2" fontId="24" fillId="0" borderId="39" xfId="0" applyNumberFormat="1" applyFont="1" applyFill="1" applyBorder="1" applyAlignment="1">
      <alignment horizontal="center"/>
    </xf>
    <xf numFmtId="2" fontId="24" fillId="0" borderId="42" xfId="0" applyNumberFormat="1" applyFont="1" applyFill="1" applyBorder="1" applyAlignment="1">
      <alignment horizontal="center"/>
    </xf>
    <xf numFmtId="2" fontId="24" fillId="12" borderId="139" xfId="0" applyNumberFormat="1" applyFont="1" applyFill="1" applyBorder="1" applyAlignment="1">
      <alignment horizontal="center"/>
    </xf>
    <xf numFmtId="2" fontId="24" fillId="0" borderId="140" xfId="0" applyNumberFormat="1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left"/>
    </xf>
    <xf numFmtId="0" fontId="24" fillId="0" borderId="89" xfId="0" applyFont="1" applyFill="1" applyBorder="1" applyAlignment="1">
      <alignment horizontal="left"/>
    </xf>
    <xf numFmtId="0" fontId="24" fillId="0" borderId="86" xfId="0" applyFont="1" applyFill="1" applyBorder="1" applyAlignment="1">
      <alignment horizontal="center"/>
    </xf>
    <xf numFmtId="2" fontId="24" fillId="0" borderId="88" xfId="0" applyNumberFormat="1" applyFont="1" applyFill="1" applyBorder="1" applyAlignment="1">
      <alignment horizontal="center"/>
    </xf>
    <xf numFmtId="2" fontId="24" fillId="0" borderId="48" xfId="0" applyNumberFormat="1" applyFont="1" applyFill="1" applyBorder="1" applyAlignment="1">
      <alignment horizontal="center"/>
    </xf>
    <xf numFmtId="2" fontId="24" fillId="0" borderId="86" xfId="0" applyNumberFormat="1" applyFont="1" applyFill="1" applyBorder="1" applyAlignment="1">
      <alignment horizontal="center"/>
    </xf>
    <xf numFmtId="2" fontId="21" fillId="12" borderId="88" xfId="0" applyNumberFormat="1" applyFont="1" applyFill="1" applyBorder="1" applyAlignment="1">
      <alignment horizontal="center"/>
    </xf>
    <xf numFmtId="2" fontId="21" fillId="12" borderId="141" xfId="0" applyNumberFormat="1" applyFont="1" applyFill="1" applyBorder="1" applyAlignment="1">
      <alignment horizontal="center"/>
    </xf>
    <xf numFmtId="2" fontId="21" fillId="12" borderId="142" xfId="0" applyNumberFormat="1" applyFont="1" applyFill="1" applyBorder="1" applyAlignment="1">
      <alignment horizontal="center"/>
    </xf>
    <xf numFmtId="2" fontId="24" fillId="0" borderId="143" xfId="0" applyNumberFormat="1" applyFont="1" applyFill="1" applyBorder="1" applyAlignment="1">
      <alignment horizontal="center"/>
    </xf>
    <xf numFmtId="0" fontId="26" fillId="0" borderId="88" xfId="0" applyFont="1" applyFill="1" applyBorder="1" applyAlignment="1">
      <alignment horizontal="center"/>
    </xf>
    <xf numFmtId="15" fontId="21" fillId="0" borderId="144" xfId="0" applyNumberFormat="1" applyFont="1" applyFill="1" applyBorder="1" applyAlignment="1">
      <alignment horizontal="center"/>
    </xf>
    <xf numFmtId="16" fontId="21" fillId="0" borderId="144" xfId="0" applyNumberFormat="1" applyFont="1" applyFill="1" applyBorder="1" applyAlignment="1">
      <alignment horizontal="left"/>
    </xf>
    <xf numFmtId="0" fontId="21" fillId="0" borderId="144" xfId="0" applyFont="1" applyFill="1" applyBorder="1" applyAlignment="1">
      <alignment horizontal="left"/>
    </xf>
    <xf numFmtId="0" fontId="21" fillId="0" borderId="145" xfId="0" applyFont="1" applyFill="1" applyBorder="1" applyAlignment="1">
      <alignment horizontal="left"/>
    </xf>
    <xf numFmtId="0" fontId="21" fillId="8" borderId="146" xfId="0" applyFont="1" applyFill="1" applyBorder="1" applyAlignment="1">
      <alignment horizontal="center"/>
    </xf>
    <xf numFmtId="4" fontId="21" fillId="0" borderId="147" xfId="0" applyNumberFormat="1" applyFont="1" applyFill="1" applyBorder="1" applyAlignment="1"/>
    <xf numFmtId="2" fontId="21" fillId="0" borderId="144" xfId="0" applyNumberFormat="1" applyFont="1" applyFill="1" applyBorder="1" applyAlignment="1"/>
    <xf numFmtId="2" fontId="21" fillId="0" borderId="146" xfId="0" applyNumberFormat="1" applyFont="1" applyFill="1" applyBorder="1" applyAlignment="1"/>
    <xf numFmtId="2" fontId="21" fillId="0" borderId="147" xfId="0" applyNumberFormat="1" applyFont="1" applyFill="1" applyBorder="1" applyAlignment="1"/>
    <xf numFmtId="2" fontId="21" fillId="0" borderId="145" xfId="0" applyNumberFormat="1" applyFont="1" applyFill="1" applyBorder="1" applyAlignment="1"/>
    <xf numFmtId="2" fontId="21" fillId="0" borderId="148" xfId="0" applyNumberFormat="1" applyFont="1" applyFill="1" applyBorder="1" applyAlignment="1"/>
    <xf numFmtId="2" fontId="21" fillId="12" borderId="149" xfId="0" applyNumberFormat="1" applyFont="1" applyFill="1" applyBorder="1" applyAlignment="1">
      <alignment horizontal="right"/>
    </xf>
    <xf numFmtId="2" fontId="21" fillId="12" borderId="150" xfId="0" applyNumberFormat="1" applyFont="1" applyFill="1" applyBorder="1" applyAlignment="1"/>
    <xf numFmtId="0" fontId="26" fillId="0" borderId="147" xfId="0" applyFont="1" applyFill="1" applyBorder="1" applyAlignment="1">
      <alignment horizontal="center"/>
    </xf>
    <xf numFmtId="15" fontId="21" fillId="0" borderId="20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left"/>
    </xf>
    <xf numFmtId="0" fontId="21" fillId="8" borderId="23" xfId="0" applyFont="1" applyFill="1" applyBorder="1" applyAlignment="1">
      <alignment horizontal="center"/>
    </xf>
    <xf numFmtId="4" fontId="21" fillId="0" borderId="15" xfId="0" applyNumberFormat="1" applyFont="1" applyFill="1" applyBorder="1" applyAlignment="1"/>
    <xf numFmtId="2" fontId="21" fillId="0" borderId="23" xfId="0" applyNumberFormat="1" applyFont="1" applyFill="1" applyBorder="1" applyAlignment="1"/>
    <xf numFmtId="2" fontId="21" fillId="0" borderId="15" xfId="0" applyNumberFormat="1" applyFont="1" applyFill="1" applyBorder="1" applyAlignment="1"/>
    <xf numFmtId="2" fontId="21" fillId="0" borderId="16" xfId="0" applyNumberFormat="1" applyFont="1" applyFill="1" applyBorder="1" applyAlignment="1"/>
    <xf numFmtId="2" fontId="21" fillId="12" borderId="139" xfId="0" applyNumberFormat="1" applyFont="1" applyFill="1" applyBorder="1" applyAlignment="1">
      <alignment horizontal="right"/>
    </xf>
    <xf numFmtId="2" fontId="21" fillId="12" borderId="151" xfId="0" applyNumberFormat="1" applyFont="1" applyFill="1" applyBorder="1" applyAlignment="1"/>
    <xf numFmtId="0" fontId="26" fillId="0" borderId="1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15" fontId="21" fillId="3" borderId="38" xfId="0" applyNumberFormat="1" applyFont="1" applyFill="1" applyBorder="1" applyAlignment="1">
      <alignment horizontal="center"/>
    </xf>
    <xf numFmtId="16" fontId="21" fillId="3" borderId="38" xfId="0" applyNumberFormat="1" applyFont="1" applyFill="1" applyBorder="1" applyAlignment="1">
      <alignment horizontal="left"/>
    </xf>
    <xf numFmtId="0" fontId="21" fillId="3" borderId="38" xfId="0" applyFont="1" applyFill="1" applyBorder="1" applyAlignment="1">
      <alignment horizontal="left"/>
    </xf>
    <xf numFmtId="0" fontId="21" fillId="3" borderId="42" xfId="0" applyFont="1" applyFill="1" applyBorder="1" applyAlignment="1">
      <alignment horizontal="left"/>
    </xf>
    <xf numFmtId="0" fontId="21" fillId="3" borderId="39" xfId="0" applyFont="1" applyFill="1" applyBorder="1" applyAlignment="1">
      <alignment horizontal="center"/>
    </xf>
    <xf numFmtId="2" fontId="21" fillId="3" borderId="41" xfId="0" applyNumberFormat="1" applyFont="1" applyFill="1" applyBorder="1" applyAlignment="1"/>
    <xf numFmtId="2" fontId="21" fillId="3" borderId="38" xfId="0" applyNumberFormat="1" applyFont="1" applyFill="1" applyBorder="1" applyAlignment="1"/>
    <xf numFmtId="2" fontId="21" fillId="3" borderId="39" xfId="0" applyNumberFormat="1" applyFont="1" applyFill="1" applyBorder="1" applyAlignment="1"/>
    <xf numFmtId="2" fontId="22" fillId="3" borderId="38" xfId="0" applyNumberFormat="1" applyFont="1" applyFill="1" applyBorder="1" applyAlignment="1"/>
    <xf numFmtId="2" fontId="22" fillId="3" borderId="42" xfId="0" applyNumberFormat="1" applyFont="1" applyFill="1" applyBorder="1" applyAlignment="1"/>
    <xf numFmtId="2" fontId="22" fillId="3" borderId="139" xfId="0" applyNumberFormat="1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15" fontId="21" fillId="0" borderId="38" xfId="0" applyNumberFormat="1" applyFont="1" applyFill="1" applyBorder="1" applyAlignment="1">
      <alignment horizontal="center"/>
    </xf>
    <xf numFmtId="0" fontId="21" fillId="8" borderId="39" xfId="0" applyFont="1" applyFill="1" applyBorder="1" applyAlignment="1">
      <alignment horizontal="center"/>
    </xf>
    <xf numFmtId="2" fontId="21" fillId="0" borderId="41" xfId="0" applyNumberFormat="1" applyFont="1" applyFill="1" applyBorder="1" applyAlignment="1"/>
    <xf numFmtId="2" fontId="21" fillId="0" borderId="39" xfId="0" applyNumberFormat="1" applyFont="1" applyFill="1" applyBorder="1" applyAlignment="1"/>
    <xf numFmtId="2" fontId="21" fillId="0" borderId="42" xfId="0" applyNumberFormat="1" applyFont="1" applyFill="1" applyBorder="1" applyAlignment="1"/>
    <xf numFmtId="0" fontId="30" fillId="0" borderId="1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1" fillId="0" borderId="23" xfId="0" applyFont="1" applyFill="1" applyBorder="1" applyAlignment="1">
      <alignment horizontal="center"/>
    </xf>
    <xf numFmtId="2" fontId="22" fillId="0" borderId="16" xfId="0" applyNumberFormat="1" applyFont="1" applyFill="1" applyBorder="1" applyAlignment="1"/>
    <xf numFmtId="15" fontId="21" fillId="3" borderId="20" xfId="0" applyNumberFormat="1" applyFont="1" applyFill="1" applyBorder="1" applyAlignment="1">
      <alignment horizontal="center"/>
    </xf>
    <xf numFmtId="16" fontId="21" fillId="3" borderId="20" xfId="0" applyNumberFormat="1" applyFont="1" applyFill="1" applyBorder="1" applyAlignment="1">
      <alignment horizontal="left"/>
    </xf>
    <xf numFmtId="0" fontId="21" fillId="3" borderId="20" xfId="0" applyFont="1" applyFill="1" applyBorder="1" applyAlignment="1">
      <alignment horizontal="left"/>
    </xf>
    <xf numFmtId="0" fontId="21" fillId="3" borderId="23" xfId="0" applyFont="1" applyFill="1" applyBorder="1" applyAlignment="1">
      <alignment horizontal="center"/>
    </xf>
    <xf numFmtId="4" fontId="21" fillId="3" borderId="15" xfId="0" applyNumberFormat="1" applyFont="1" applyFill="1" applyBorder="1" applyAlignment="1"/>
    <xf numFmtId="2" fontId="21" fillId="3" borderId="20" xfId="0" applyNumberFormat="1" applyFont="1" applyFill="1" applyBorder="1" applyAlignment="1"/>
    <xf numFmtId="2" fontId="21" fillId="3" borderId="23" xfId="0" applyNumberFormat="1" applyFont="1" applyFill="1" applyBorder="1" applyAlignment="1"/>
    <xf numFmtId="2" fontId="21" fillId="3" borderId="15" xfId="0" applyNumberFormat="1" applyFont="1" applyFill="1" applyBorder="1" applyAlignment="1"/>
    <xf numFmtId="2" fontId="21" fillId="3" borderId="16" xfId="0" applyNumberFormat="1" applyFont="1" applyFill="1" applyBorder="1" applyAlignment="1"/>
    <xf numFmtId="2" fontId="21" fillId="3" borderId="139" xfId="0" applyNumberFormat="1" applyFont="1" applyFill="1" applyBorder="1" applyAlignment="1">
      <alignment horizontal="right"/>
    </xf>
    <xf numFmtId="0" fontId="21" fillId="0" borderId="15" xfId="0" applyFont="1" applyFill="1" applyBorder="1" applyAlignment="1"/>
    <xf numFmtId="0" fontId="21" fillId="0" borderId="23" xfId="0" applyFont="1" applyFill="1" applyBorder="1" applyAlignment="1"/>
    <xf numFmtId="4" fontId="21" fillId="8" borderId="15" xfId="0" applyNumberFormat="1" applyFont="1" applyFill="1" applyBorder="1" applyAlignment="1"/>
    <xf numFmtId="39" fontId="21" fillId="0" borderId="20" xfId="1" applyNumberFormat="1" applyFont="1" applyFill="1" applyBorder="1" applyAlignment="1"/>
    <xf numFmtId="0" fontId="21" fillId="0" borderId="16" xfId="0" applyFont="1" applyFill="1" applyBorder="1" applyAlignment="1"/>
    <xf numFmtId="0" fontId="32" fillId="0" borderId="0" xfId="0" applyFont="1" applyFill="1" applyBorder="1" applyAlignment="1">
      <alignment horizontal="left"/>
    </xf>
    <xf numFmtId="165" fontId="32" fillId="0" borderId="0" xfId="1" applyNumberFormat="1" applyFont="1" applyFill="1" applyBorder="1" applyAlignment="1">
      <alignment horizontal="left"/>
    </xf>
    <xf numFmtId="39" fontId="21" fillId="9" borderId="152" xfId="0" applyNumberFormat="1" applyFont="1" applyFill="1" applyBorder="1" applyAlignment="1">
      <alignment horizontal="right"/>
    </xf>
    <xf numFmtId="0" fontId="21" fillId="0" borderId="16" xfId="0" applyFont="1" applyFill="1" applyBorder="1"/>
    <xf numFmtId="39" fontId="21" fillId="0" borderId="15" xfId="1" applyNumberFormat="1" applyFont="1" applyFill="1" applyBorder="1" applyAlignment="1"/>
    <xf numFmtId="2" fontId="21" fillId="9" borderId="151" xfId="0" applyNumberFormat="1" applyFont="1" applyFill="1" applyBorder="1" applyAlignment="1"/>
    <xf numFmtId="0" fontId="33" fillId="0" borderId="0" xfId="0" applyFont="1" applyFill="1" applyBorder="1" applyAlignment="1">
      <alignment horizontal="left"/>
    </xf>
    <xf numFmtId="2" fontId="22" fillId="0" borderId="15" xfId="0" applyNumberFormat="1" applyFont="1" applyFill="1" applyBorder="1" applyAlignment="1"/>
    <xf numFmtId="2" fontId="22" fillId="0" borderId="23" xfId="0" applyNumberFormat="1" applyFont="1" applyFill="1" applyBorder="1" applyAlignment="1"/>
    <xf numFmtId="2" fontId="21" fillId="0" borderId="15" xfId="1" applyNumberFormat="1" applyFont="1" applyFill="1" applyBorder="1" applyAlignment="1"/>
    <xf numFmtId="15" fontId="20" fillId="0" borderId="0" xfId="0" applyNumberFormat="1" applyFont="1" applyFill="1" applyBorder="1" applyAlignment="1">
      <alignment horizontal="center"/>
    </xf>
    <xf numFmtId="15" fontId="21" fillId="0" borderId="129" xfId="0" applyNumberFormat="1" applyFont="1" applyFill="1" applyBorder="1" applyAlignment="1">
      <alignment horizontal="center"/>
    </xf>
    <xf numFmtId="0" fontId="21" fillId="0" borderId="34" xfId="0" applyFont="1" applyFill="1" applyBorder="1" applyAlignment="1">
      <alignment horizontal="left"/>
    </xf>
    <xf numFmtId="0" fontId="21" fillId="0" borderId="129" xfId="0" applyFont="1" applyFill="1" applyBorder="1" applyAlignment="1">
      <alignment horizontal="center"/>
    </xf>
    <xf numFmtId="2" fontId="21" fillId="0" borderId="29" xfId="0" applyNumberFormat="1" applyFont="1" applyFill="1" applyBorder="1" applyAlignment="1"/>
    <xf numFmtId="2" fontId="21" fillId="0" borderId="33" xfId="0" applyNumberFormat="1" applyFont="1" applyFill="1" applyBorder="1" applyAlignment="1"/>
    <xf numFmtId="2" fontId="21" fillId="0" borderId="129" xfId="0" applyNumberFormat="1" applyFont="1" applyFill="1" applyBorder="1" applyAlignment="1"/>
    <xf numFmtId="39" fontId="21" fillId="0" borderId="29" xfId="1" applyNumberFormat="1" applyFont="1" applyFill="1" applyBorder="1" applyAlignment="1"/>
    <xf numFmtId="2" fontId="21" fillId="0" borderId="26" xfId="0" applyNumberFormat="1" applyFont="1" applyFill="1" applyBorder="1" applyAlignment="1"/>
    <xf numFmtId="2" fontId="21" fillId="0" borderId="137" xfId="0" applyNumberFormat="1" applyFont="1" applyFill="1" applyBorder="1" applyAlignment="1">
      <alignment horizontal="right"/>
    </xf>
    <xf numFmtId="2" fontId="21" fillId="0" borderId="138" xfId="0" applyNumberFormat="1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2" fillId="0" borderId="153" xfId="0" applyFont="1" applyBorder="1" applyAlignment="1">
      <alignment horizontal="left"/>
    </xf>
    <xf numFmtId="0" fontId="21" fillId="0" borderId="130" xfId="0" applyFont="1" applyBorder="1" applyAlignment="1">
      <alignment horizontal="center"/>
    </xf>
    <xf numFmtId="2" fontId="22" fillId="12" borderId="131" xfId="0" applyNumberFormat="1" applyFont="1" applyFill="1" applyBorder="1" applyAlignment="1"/>
    <xf numFmtId="2" fontId="22" fillId="12" borderId="132" xfId="0" applyNumberFormat="1" applyFont="1" applyFill="1" applyBorder="1" applyAlignment="1"/>
    <xf numFmtId="2" fontId="22" fillId="9" borderId="133" xfId="0" applyNumberFormat="1" applyFont="1" applyFill="1" applyBorder="1" applyAlignment="1"/>
    <xf numFmtId="2" fontId="22" fillId="9" borderId="154" xfId="0" applyNumberFormat="1" applyFont="1" applyFill="1" applyBorder="1" applyAlignment="1"/>
    <xf numFmtId="2" fontId="22" fillId="9" borderId="155" xfId="0" applyNumberFormat="1" applyFont="1" applyFill="1" applyBorder="1" applyAlignment="1"/>
    <xf numFmtId="2" fontId="22" fillId="9" borderId="131" xfId="0" applyNumberFormat="1" applyFont="1" applyFill="1" applyBorder="1" applyAlignment="1">
      <alignment horizontal="center"/>
    </xf>
    <xf numFmtId="2" fontId="22" fillId="12" borderId="132" xfId="0" applyNumberFormat="1" applyFont="1" applyFill="1" applyBorder="1" applyAlignment="1">
      <alignment horizontal="center"/>
    </xf>
    <xf numFmtId="0" fontId="26" fillId="0" borderId="156" xfId="0" applyFont="1" applyBorder="1" applyAlignment="1">
      <alignment horizontal="center"/>
    </xf>
    <xf numFmtId="39" fontId="21" fillId="0" borderId="0" xfId="1" applyNumberFormat="1" applyFont="1" applyBorder="1" applyAlignment="1">
      <alignment horizontal="center"/>
    </xf>
    <xf numFmtId="165" fontId="22" fillId="0" borderId="0" xfId="1" applyNumberFormat="1" applyFont="1" applyFill="1" applyBorder="1" applyAlignment="1">
      <alignment horizontal="center"/>
    </xf>
    <xf numFmtId="164" fontId="22" fillId="0" borderId="0" xfId="1" applyNumberFormat="1" applyFont="1" applyFill="1" applyBorder="1" applyAlignment="1">
      <alignment horizontal="left"/>
    </xf>
    <xf numFmtId="0" fontId="22" fillId="0" borderId="15" xfId="0" applyFont="1" applyBorder="1" applyAlignment="1">
      <alignment horizontal="center" vertical="center" wrapText="1"/>
    </xf>
    <xf numFmtId="165" fontId="22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/>
    </xf>
    <xf numFmtId="4" fontId="21" fillId="12" borderId="142" xfId="0" applyNumberFormat="1" applyFont="1" applyFill="1" applyBorder="1" applyAlignment="1">
      <alignment horizontal="center"/>
    </xf>
    <xf numFmtId="0" fontId="36" fillId="0" borderId="88" xfId="0" applyFont="1" applyFill="1" applyBorder="1" applyAlignment="1">
      <alignment horizontal="center"/>
    </xf>
    <xf numFmtId="16" fontId="21" fillId="3" borderId="144" xfId="0" applyNumberFormat="1" applyFont="1" applyFill="1" applyBorder="1" applyAlignment="1">
      <alignment horizontal="left"/>
    </xf>
    <xf numFmtId="0" fontId="21" fillId="3" borderId="144" xfId="0" applyFont="1" applyFill="1" applyBorder="1" applyAlignment="1">
      <alignment horizontal="left"/>
    </xf>
    <xf numFmtId="0" fontId="21" fillId="3" borderId="145" xfId="0" applyFont="1" applyFill="1" applyBorder="1" applyAlignment="1">
      <alignment horizontal="left"/>
    </xf>
    <xf numFmtId="0" fontId="21" fillId="3" borderId="146" xfId="0" applyFont="1" applyFill="1" applyBorder="1" applyAlignment="1">
      <alignment horizontal="center"/>
    </xf>
    <xf numFmtId="4" fontId="21" fillId="3" borderId="147" xfId="0" applyNumberFormat="1" applyFont="1" applyFill="1" applyBorder="1" applyAlignment="1"/>
    <xf numFmtId="4" fontId="21" fillId="3" borderId="144" xfId="0" applyNumberFormat="1" applyFont="1" applyFill="1" applyBorder="1" applyAlignment="1"/>
    <xf numFmtId="4" fontId="21" fillId="3" borderId="146" xfId="0" applyNumberFormat="1" applyFont="1" applyFill="1" applyBorder="1" applyAlignment="1"/>
    <xf numFmtId="4" fontId="22" fillId="3" borderId="144" xfId="0" applyNumberFormat="1" applyFont="1" applyFill="1" applyBorder="1" applyAlignment="1"/>
    <xf numFmtId="4" fontId="22" fillId="3" borderId="145" xfId="0" applyNumberFormat="1" applyFont="1" applyFill="1" applyBorder="1" applyAlignment="1"/>
    <xf numFmtId="4" fontId="21" fillId="3" borderId="149" xfId="0" applyNumberFormat="1" applyFont="1" applyFill="1" applyBorder="1" applyAlignment="1">
      <alignment horizontal="right"/>
    </xf>
    <xf numFmtId="0" fontId="37" fillId="0" borderId="147" xfId="0" applyFont="1" applyFill="1" applyBorder="1" applyAlignment="1">
      <alignment horizontal="center"/>
    </xf>
    <xf numFmtId="4" fontId="21" fillId="0" borderId="20" xfId="0" applyNumberFormat="1" applyFont="1" applyFill="1" applyBorder="1" applyAlignment="1"/>
    <xf numFmtId="4" fontId="21" fillId="0" borderId="23" xfId="0" applyNumberFormat="1" applyFont="1" applyFill="1" applyBorder="1" applyAlignment="1"/>
    <xf numFmtId="4" fontId="21" fillId="0" borderId="16" xfId="0" applyNumberFormat="1" applyFont="1" applyFill="1" applyBorder="1" applyAlignment="1"/>
    <xf numFmtId="4" fontId="21" fillId="9" borderId="152" xfId="0" applyNumberFormat="1" applyFont="1" applyFill="1" applyBorder="1" applyAlignment="1">
      <alignment horizontal="right"/>
    </xf>
    <xf numFmtId="0" fontId="37" fillId="0" borderId="15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4" fontId="21" fillId="0" borderId="41" xfId="0" applyNumberFormat="1" applyFont="1" applyFill="1" applyBorder="1" applyAlignment="1"/>
    <xf numFmtId="4" fontId="21" fillId="0" borderId="38" xfId="0" applyNumberFormat="1" applyFont="1" applyFill="1" applyBorder="1" applyAlignment="1"/>
    <xf numFmtId="4" fontId="21" fillId="0" borderId="39" xfId="0" applyNumberFormat="1" applyFont="1" applyFill="1" applyBorder="1" applyAlignment="1"/>
    <xf numFmtId="4" fontId="21" fillId="0" borderId="42" xfId="0" applyNumberFormat="1" applyFont="1" applyFill="1" applyBorder="1" applyAlignment="1"/>
    <xf numFmtId="0" fontId="37" fillId="0" borderId="41" xfId="0" applyFont="1" applyFill="1" applyBorder="1" applyAlignment="1">
      <alignment horizontal="center"/>
    </xf>
    <xf numFmtId="0" fontId="21" fillId="0" borderId="42" xfId="0" applyFont="1" applyFill="1" applyBorder="1" applyAlignment="1">
      <alignment horizontal="left"/>
    </xf>
    <xf numFmtId="2" fontId="21" fillId="0" borderId="0" xfId="0" applyNumberFormat="1" applyFont="1" applyFill="1" applyBorder="1" applyAlignment="1">
      <alignment horizontal="left"/>
    </xf>
    <xf numFmtId="4" fontId="21" fillId="0" borderId="20" xfId="1" applyNumberFormat="1" applyFont="1" applyFill="1" applyBorder="1" applyAlignment="1"/>
    <xf numFmtId="0" fontId="21" fillId="3" borderId="16" xfId="0" applyFont="1" applyFill="1" applyBorder="1"/>
    <xf numFmtId="4" fontId="21" fillId="3" borderId="20" xfId="0" applyNumberFormat="1" applyFont="1" applyFill="1" applyBorder="1" applyAlignment="1"/>
    <xf numFmtId="4" fontId="21" fillId="3" borderId="23" xfId="0" applyNumberFormat="1" applyFont="1" applyFill="1" applyBorder="1" applyAlignment="1"/>
    <xf numFmtId="4" fontId="21" fillId="3" borderId="20" xfId="1" applyNumberFormat="1" applyFont="1" applyFill="1" applyBorder="1" applyAlignment="1"/>
    <xf numFmtId="4" fontId="21" fillId="3" borderId="16" xfId="0" applyNumberFormat="1" applyFont="1" applyFill="1" applyBorder="1" applyAlignment="1"/>
    <xf numFmtId="4" fontId="21" fillId="3" borderId="152" xfId="0" applyNumberFormat="1" applyFont="1" applyFill="1" applyBorder="1" applyAlignment="1">
      <alignment horizontal="right"/>
    </xf>
    <xf numFmtId="165" fontId="32" fillId="0" borderId="0" xfId="1" applyNumberFormat="1" applyFont="1" applyFill="1" applyBorder="1" applyAlignment="1">
      <alignment horizontal="center"/>
    </xf>
    <xf numFmtId="4" fontId="21" fillId="0" borderId="15" xfId="1" applyNumberFormat="1" applyFont="1" applyFill="1" applyBorder="1" applyAlignment="1"/>
    <xf numFmtId="0" fontId="31" fillId="0" borderId="2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9" fontId="32" fillId="0" borderId="0" xfId="2" applyFont="1" applyFill="1" applyBorder="1" applyAlignment="1">
      <alignment horizontal="left"/>
    </xf>
    <xf numFmtId="4" fontId="21" fillId="0" borderId="152" xfId="0" applyNumberFormat="1" applyFont="1" applyFill="1" applyBorder="1" applyAlignment="1">
      <alignment horizontal="right"/>
    </xf>
    <xf numFmtId="4" fontId="21" fillId="0" borderId="29" xfId="0" applyNumberFormat="1" applyFont="1" applyFill="1" applyBorder="1" applyAlignment="1"/>
    <xf numFmtId="4" fontId="21" fillId="0" borderId="33" xfId="0" applyNumberFormat="1" applyFont="1" applyFill="1" applyBorder="1" applyAlignment="1"/>
    <xf numFmtId="4" fontId="21" fillId="0" borderId="129" xfId="0" applyNumberFormat="1" applyFont="1" applyFill="1" applyBorder="1" applyAlignment="1"/>
    <xf numFmtId="4" fontId="21" fillId="0" borderId="29" xfId="1" applyNumberFormat="1" applyFont="1" applyFill="1" applyBorder="1" applyAlignment="1"/>
    <xf numFmtId="4" fontId="21" fillId="0" borderId="26" xfId="0" applyNumberFormat="1" applyFont="1" applyFill="1" applyBorder="1" applyAlignment="1"/>
    <xf numFmtId="4" fontId="21" fillId="0" borderId="137" xfId="0" applyNumberFormat="1" applyFont="1" applyFill="1" applyBorder="1" applyAlignment="1">
      <alignment horizontal="right"/>
    </xf>
    <xf numFmtId="0" fontId="36" fillId="0" borderId="29" xfId="0" applyFont="1" applyFill="1" applyBorder="1" applyAlignment="1">
      <alignment horizontal="center"/>
    </xf>
    <xf numFmtId="0" fontId="36" fillId="0" borderId="156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" fillId="0" borderId="0" xfId="0" applyFont="1" applyFill="1"/>
    <xf numFmtId="0" fontId="9" fillId="13" borderId="28" xfId="0" applyFont="1" applyFill="1" applyBorder="1" applyAlignment="1">
      <alignment horizontal="center" vertical="center" wrapText="1"/>
    </xf>
    <xf numFmtId="0" fontId="9" fillId="13" borderId="30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3" borderId="33" xfId="0" applyFont="1" applyFill="1" applyBorder="1" applyAlignment="1">
      <alignment horizontal="center" vertical="center" wrapText="1"/>
    </xf>
    <xf numFmtId="0" fontId="9" fillId="14" borderId="33" xfId="0" applyFont="1" applyFill="1" applyBorder="1" applyAlignment="1">
      <alignment horizontal="center" vertical="center" wrapText="1"/>
    </xf>
    <xf numFmtId="164" fontId="0" fillId="0" borderId="48" xfId="0" applyNumberFormat="1" applyFill="1" applyBorder="1"/>
    <xf numFmtId="164" fontId="2" fillId="6" borderId="20" xfId="0" applyNumberFormat="1" applyFont="1" applyFill="1" applyBorder="1"/>
    <xf numFmtId="0" fontId="0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40" xfId="0" applyNumberForma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2" fillId="0" borderId="99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0" fillId="0" borderId="99" xfId="0" applyBorder="1"/>
    <xf numFmtId="0" fontId="5" fillId="0" borderId="0" xfId="0" applyFont="1" applyAlignment="1">
      <alignment vertical="top"/>
    </xf>
    <xf numFmtId="0" fontId="5" fillId="0" borderId="0" xfId="0" applyFont="1"/>
    <xf numFmtId="0" fontId="41" fillId="0" borderId="0" xfId="0" applyFont="1"/>
    <xf numFmtId="0" fontId="42" fillId="0" borderId="0" xfId="0" applyFont="1"/>
    <xf numFmtId="0" fontId="22" fillId="0" borderId="15" xfId="0" applyFont="1" applyBorder="1" applyAlignment="1">
      <alignment horizontal="center"/>
    </xf>
    <xf numFmtId="0" fontId="42" fillId="0" borderId="0" xfId="0" applyFont="1" applyFill="1"/>
    <xf numFmtId="0" fontId="22" fillId="11" borderId="158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22" fillId="11" borderId="161" xfId="0" applyFont="1" applyFill="1" applyBorder="1" applyAlignment="1">
      <alignment horizontal="center"/>
    </xf>
    <xf numFmtId="0" fontId="22" fillId="11" borderId="25" xfId="0" applyFont="1" applyFill="1" applyBorder="1" applyAlignment="1">
      <alignment horizontal="center" vertical="center" wrapText="1"/>
    </xf>
    <xf numFmtId="0" fontId="22" fillId="11" borderId="162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/>
    </xf>
    <xf numFmtId="2" fontId="35" fillId="0" borderId="41" xfId="0" applyNumberFormat="1" applyFont="1" applyFill="1" applyBorder="1" applyAlignment="1">
      <alignment horizontal="center"/>
    </xf>
    <xf numFmtId="2" fontId="35" fillId="0" borderId="38" xfId="0" applyNumberFormat="1" applyFont="1" applyFill="1" applyBorder="1" applyAlignment="1">
      <alignment horizontal="center"/>
    </xf>
    <xf numFmtId="2" fontId="35" fillId="0" borderId="42" xfId="0" applyNumberFormat="1" applyFont="1" applyFill="1" applyBorder="1" applyAlignment="1">
      <alignment horizontal="center"/>
    </xf>
    <xf numFmtId="4" fontId="24" fillId="12" borderId="139" xfId="0" applyNumberFormat="1" applyFont="1" applyFill="1" applyBorder="1" applyAlignment="1">
      <alignment horizontal="center"/>
    </xf>
    <xf numFmtId="4" fontId="22" fillId="0" borderId="163" xfId="0" applyNumberFormat="1" applyFont="1" applyFill="1" applyBorder="1" applyAlignment="1">
      <alignment horizontal="right"/>
    </xf>
    <xf numFmtId="0" fontId="24" fillId="0" borderId="85" xfId="0" applyFont="1" applyFill="1" applyBorder="1" applyAlignment="1">
      <alignment horizontal="center"/>
    </xf>
    <xf numFmtId="4" fontId="24" fillId="0" borderId="164" xfId="0" applyNumberFormat="1" applyFont="1" applyFill="1" applyBorder="1" applyAlignment="1">
      <alignment horizontal="center"/>
    </xf>
    <xf numFmtId="16" fontId="21" fillId="3" borderId="165" xfId="0" applyNumberFormat="1" applyFont="1" applyFill="1" applyBorder="1" applyAlignment="1">
      <alignment horizontal="center"/>
    </xf>
    <xf numFmtId="4" fontId="21" fillId="12" borderId="166" xfId="0" applyNumberFormat="1" applyFont="1" applyFill="1" applyBorder="1" applyAlignment="1"/>
    <xf numFmtId="16" fontId="21" fillId="0" borderId="22" xfId="0" applyNumberFormat="1" applyFont="1" applyFill="1" applyBorder="1" applyAlignment="1">
      <alignment horizontal="center"/>
    </xf>
    <xf numFmtId="4" fontId="21" fillId="12" borderId="167" xfId="0" applyNumberFormat="1" applyFont="1" applyFill="1" applyBorder="1" applyAlignment="1"/>
    <xf numFmtId="16" fontId="21" fillId="0" borderId="37" xfId="0" applyNumberFormat="1" applyFont="1" applyFill="1" applyBorder="1" applyAlignment="1">
      <alignment horizontal="center"/>
    </xf>
    <xf numFmtId="16" fontId="21" fillId="3" borderId="22" xfId="0" applyNumberFormat="1" applyFont="1" applyFill="1" applyBorder="1" applyAlignment="1">
      <alignment horizontal="center"/>
    </xf>
    <xf numFmtId="4" fontId="21" fillId="9" borderId="167" xfId="0" applyNumberFormat="1" applyFont="1" applyFill="1" applyBorder="1" applyAlignment="1"/>
    <xf numFmtId="166" fontId="32" fillId="0" borderId="0" xfId="2" applyNumberFormat="1" applyFont="1" applyFill="1" applyBorder="1" applyAlignment="1">
      <alignment horizontal="left"/>
    </xf>
    <xf numFmtId="0" fontId="21" fillId="17" borderId="16" xfId="0" applyFont="1" applyFill="1" applyBorder="1"/>
    <xf numFmtId="166" fontId="20" fillId="0" borderId="0" xfId="2" applyNumberFormat="1" applyFont="1" applyFill="1" applyBorder="1" applyAlignment="1">
      <alignment horizontal="center"/>
    </xf>
    <xf numFmtId="4" fontId="21" fillId="0" borderId="167" xfId="0" applyNumberFormat="1" applyFont="1" applyFill="1" applyBorder="1" applyAlignment="1">
      <alignment horizontal="center"/>
    </xf>
    <xf numFmtId="16" fontId="21" fillId="0" borderId="168" xfId="0" applyNumberFormat="1" applyFont="1" applyFill="1" applyBorder="1" applyAlignment="1">
      <alignment horizontal="center"/>
    </xf>
    <xf numFmtId="4" fontId="21" fillId="0" borderId="162" xfId="0" applyNumberFormat="1" applyFont="1" applyFill="1" applyBorder="1" applyAlignment="1">
      <alignment horizontal="center"/>
    </xf>
    <xf numFmtId="0" fontId="22" fillId="0" borderId="169" xfId="0" applyFont="1" applyBorder="1" applyAlignment="1">
      <alignment horizontal="center"/>
    </xf>
    <xf numFmtId="0" fontId="22" fillId="0" borderId="170" xfId="0" applyFont="1" applyBorder="1" applyAlignment="1">
      <alignment horizontal="left"/>
    </xf>
    <xf numFmtId="0" fontId="22" fillId="0" borderId="171" xfId="0" applyFont="1" applyBorder="1" applyAlignment="1">
      <alignment horizontal="left"/>
    </xf>
    <xf numFmtId="0" fontId="22" fillId="0" borderId="172" xfId="0" applyFont="1" applyBorder="1" applyAlignment="1">
      <alignment horizontal="left"/>
    </xf>
    <xf numFmtId="0" fontId="21" fillId="0" borderId="92" xfId="0" applyFont="1" applyBorder="1" applyAlignment="1">
      <alignment horizontal="center"/>
    </xf>
    <xf numFmtId="4" fontId="22" fillId="0" borderId="170" xfId="0" applyNumberFormat="1" applyFont="1" applyBorder="1" applyAlignment="1"/>
    <xf numFmtId="4" fontId="22" fillId="0" borderId="171" xfId="0" applyNumberFormat="1" applyFont="1" applyBorder="1" applyAlignment="1"/>
    <xf numFmtId="4" fontId="22" fillId="9" borderId="93" xfId="0" applyNumberFormat="1" applyFont="1" applyFill="1" applyBorder="1" applyAlignment="1"/>
    <xf numFmtId="4" fontId="22" fillId="9" borderId="91" xfId="0" applyNumberFormat="1" applyFont="1" applyFill="1" applyBorder="1" applyAlignment="1"/>
    <xf numFmtId="4" fontId="22" fillId="9" borderId="94" xfId="0" applyNumberFormat="1" applyFont="1" applyFill="1" applyBorder="1" applyAlignment="1"/>
    <xf numFmtId="4" fontId="22" fillId="9" borderId="170" xfId="0" applyNumberFormat="1" applyFont="1" applyFill="1" applyBorder="1" applyAlignment="1">
      <alignment horizontal="center"/>
    </xf>
    <xf numFmtId="4" fontId="22" fillId="12" borderId="173" xfId="0" applyNumberFormat="1" applyFont="1" applyFill="1" applyBorder="1" applyAlignment="1">
      <alignment horizontal="center"/>
    </xf>
    <xf numFmtId="164" fontId="21" fillId="0" borderId="0" xfId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165" fontId="20" fillId="0" borderId="0" xfId="1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2" fontId="43" fillId="0" borderId="0" xfId="0" applyNumberFormat="1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2" fontId="44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2" fontId="22" fillId="0" borderId="163" xfId="0" applyNumberFormat="1" applyFont="1" applyFill="1" applyBorder="1" applyAlignment="1">
      <alignment horizontal="right"/>
    </xf>
    <xf numFmtId="2" fontId="24" fillId="0" borderId="164" xfId="0" applyNumberFormat="1" applyFont="1" applyFill="1" applyBorder="1" applyAlignment="1">
      <alignment horizontal="center"/>
    </xf>
    <xf numFmtId="39" fontId="21" fillId="9" borderId="149" xfId="0" applyNumberFormat="1" applyFont="1" applyFill="1" applyBorder="1" applyAlignment="1">
      <alignment horizontal="right"/>
    </xf>
    <xf numFmtId="2" fontId="21" fillId="12" borderId="166" xfId="0" applyNumberFormat="1" applyFont="1" applyFill="1" applyBorder="1" applyAlignment="1"/>
    <xf numFmtId="16" fontId="21" fillId="18" borderId="38" xfId="0" applyNumberFormat="1" applyFont="1" applyFill="1" applyBorder="1" applyAlignment="1">
      <alignment horizontal="left"/>
    </xf>
    <xf numFmtId="0" fontId="21" fillId="18" borderId="38" xfId="0" applyFont="1" applyFill="1" applyBorder="1" applyAlignment="1">
      <alignment horizontal="left"/>
    </xf>
    <xf numFmtId="0" fontId="21" fillId="18" borderId="42" xfId="0" applyFont="1" applyFill="1" applyBorder="1" applyAlignment="1">
      <alignment horizontal="left"/>
    </xf>
    <xf numFmtId="0" fontId="21" fillId="18" borderId="39" xfId="0" applyFont="1" applyFill="1" applyBorder="1" applyAlignment="1">
      <alignment horizontal="center"/>
    </xf>
    <xf numFmtId="2" fontId="21" fillId="18" borderId="41" xfId="0" applyNumberFormat="1" applyFont="1" applyFill="1" applyBorder="1" applyAlignment="1"/>
    <xf numFmtId="2" fontId="21" fillId="18" borderId="38" xfId="0" applyNumberFormat="1" applyFont="1" applyFill="1" applyBorder="1" applyAlignment="1"/>
    <xf numFmtId="2" fontId="21" fillId="18" borderId="39" xfId="0" applyNumberFormat="1" applyFont="1" applyFill="1" applyBorder="1" applyAlignment="1"/>
    <xf numFmtId="2" fontId="22" fillId="18" borderId="38" xfId="0" applyNumberFormat="1" applyFont="1" applyFill="1" applyBorder="1" applyAlignment="1"/>
    <xf numFmtId="2" fontId="22" fillId="18" borderId="42" xfId="0" applyNumberFormat="1" applyFont="1" applyFill="1" applyBorder="1" applyAlignment="1"/>
    <xf numFmtId="39" fontId="21" fillId="18" borderId="139" xfId="0" applyNumberFormat="1" applyFont="1" applyFill="1" applyBorder="1" applyAlignment="1">
      <alignment horizontal="right"/>
    </xf>
    <xf numFmtId="2" fontId="21" fillId="12" borderId="163" xfId="0" applyNumberFormat="1" applyFont="1" applyFill="1" applyBorder="1" applyAlignment="1"/>
    <xf numFmtId="2" fontId="21" fillId="12" borderId="167" xfId="0" applyNumberFormat="1" applyFont="1" applyFill="1" applyBorder="1" applyAlignment="1"/>
    <xf numFmtId="16" fontId="21" fillId="18" borderId="20" xfId="0" applyNumberFormat="1" applyFont="1" applyFill="1" applyBorder="1" applyAlignment="1">
      <alignment horizontal="left"/>
    </xf>
    <xf numFmtId="0" fontId="21" fillId="18" borderId="23" xfId="0" applyFont="1" applyFill="1" applyBorder="1" applyAlignment="1">
      <alignment horizontal="center"/>
    </xf>
    <xf numFmtId="4" fontId="21" fillId="18" borderId="15" xfId="0" applyNumberFormat="1" applyFont="1" applyFill="1" applyBorder="1" applyAlignment="1"/>
    <xf numFmtId="2" fontId="21" fillId="18" borderId="20" xfId="0" applyNumberFormat="1" applyFont="1" applyFill="1" applyBorder="1" applyAlignment="1"/>
    <xf numFmtId="2" fontId="21" fillId="18" borderId="23" xfId="0" applyNumberFormat="1" applyFont="1" applyFill="1" applyBorder="1" applyAlignment="1"/>
    <xf numFmtId="2" fontId="21" fillId="18" borderId="15" xfId="0" applyNumberFormat="1" applyFont="1" applyFill="1" applyBorder="1" applyAlignment="1"/>
    <xf numFmtId="2" fontId="21" fillId="18" borderId="16" xfId="0" applyNumberFormat="1" applyFont="1" applyFill="1" applyBorder="1" applyAlignment="1"/>
    <xf numFmtId="39" fontId="21" fillId="18" borderId="152" xfId="0" applyNumberFormat="1" applyFont="1" applyFill="1" applyBorder="1" applyAlignment="1">
      <alignment horizontal="right"/>
    </xf>
    <xf numFmtId="0" fontId="21" fillId="0" borderId="20" xfId="0" applyFont="1" applyFill="1" applyBorder="1" applyAlignment="1">
      <alignment horizontal="center" wrapText="1"/>
    </xf>
    <xf numFmtId="0" fontId="45" fillId="0" borderId="20" xfId="0" applyFont="1" applyFill="1" applyBorder="1"/>
    <xf numFmtId="0" fontId="21" fillId="18" borderId="20" xfId="0" applyFont="1" applyFill="1" applyBorder="1" applyAlignment="1"/>
    <xf numFmtId="0" fontId="21" fillId="18" borderId="23" xfId="0" applyFont="1" applyFill="1" applyBorder="1" applyAlignment="1"/>
    <xf numFmtId="2" fontId="21" fillId="18" borderId="20" xfId="1" applyNumberFormat="1" applyFont="1" applyFill="1" applyBorder="1" applyAlignment="1"/>
    <xf numFmtId="2" fontId="21" fillId="0" borderId="20" xfId="1" applyNumberFormat="1" applyFont="1" applyFill="1" applyBorder="1" applyAlignment="1"/>
    <xf numFmtId="164" fontId="21" fillId="0" borderId="15" xfId="1" applyFont="1" applyFill="1" applyBorder="1" applyAlignment="1"/>
    <xf numFmtId="164" fontId="32" fillId="0" borderId="0" xfId="1" applyFont="1" applyFill="1" applyBorder="1" applyAlignment="1">
      <alignment horizontal="left"/>
    </xf>
    <xf numFmtId="164" fontId="21" fillId="0" borderId="29" xfId="1" applyFont="1" applyFill="1" applyBorder="1" applyAlignment="1"/>
    <xf numFmtId="2" fontId="21" fillId="0" borderId="162" xfId="0" applyNumberFormat="1" applyFont="1" applyFill="1" applyBorder="1" applyAlignment="1">
      <alignment horizontal="center"/>
    </xf>
    <xf numFmtId="2" fontId="22" fillId="0" borderId="170" xfId="0" applyNumberFormat="1" applyFont="1" applyBorder="1" applyAlignment="1"/>
    <xf numFmtId="2" fontId="22" fillId="0" borderId="171" xfId="0" applyNumberFormat="1" applyFont="1" applyBorder="1" applyAlignment="1"/>
    <xf numFmtId="2" fontId="22" fillId="9" borderId="93" xfId="0" applyNumberFormat="1" applyFont="1" applyFill="1" applyBorder="1" applyAlignment="1"/>
    <xf numFmtId="2" fontId="22" fillId="9" borderId="91" xfId="0" applyNumberFormat="1" applyFont="1" applyFill="1" applyBorder="1" applyAlignment="1"/>
    <xf numFmtId="2" fontId="22" fillId="9" borderId="94" xfId="0" applyNumberFormat="1" applyFont="1" applyFill="1" applyBorder="1" applyAlignment="1"/>
    <xf numFmtId="2" fontId="22" fillId="9" borderId="170" xfId="0" applyNumberFormat="1" applyFont="1" applyFill="1" applyBorder="1" applyAlignment="1">
      <alignment horizontal="center"/>
    </xf>
    <xf numFmtId="2" fontId="22" fillId="12" borderId="173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left"/>
    </xf>
    <xf numFmtId="165" fontId="22" fillId="0" borderId="0" xfId="1" applyNumberFormat="1" applyFont="1" applyBorder="1" applyAlignment="1">
      <alignment horizontal="center"/>
    </xf>
    <xf numFmtId="165" fontId="22" fillId="17" borderId="0" xfId="1" applyNumberFormat="1" applyFont="1" applyFill="1" applyBorder="1" applyAlignment="1">
      <alignment horizontal="center"/>
    </xf>
    <xf numFmtId="166" fontId="2" fillId="0" borderId="0" xfId="2" applyNumberFormat="1" applyFont="1"/>
    <xf numFmtId="164" fontId="0" fillId="0" borderId="20" xfId="1" applyFont="1" applyFill="1" applyBorder="1"/>
    <xf numFmtId="164" fontId="0" fillId="0" borderId="48" xfId="1" applyFont="1" applyFill="1" applyBorder="1"/>
    <xf numFmtId="164" fontId="2" fillId="0" borderId="61" xfId="1" applyFont="1" applyFill="1" applyBorder="1"/>
    <xf numFmtId="164" fontId="2" fillId="0" borderId="174" xfId="1" applyFont="1" applyFill="1" applyBorder="1"/>
    <xf numFmtId="164" fontId="2" fillId="0" borderId="174" xfId="1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166" fontId="0" fillId="0" borderId="77" xfId="2" applyNumberFormat="1" applyFont="1" applyBorder="1" applyAlignment="1">
      <alignment horizontal="center"/>
    </xf>
    <xf numFmtId="166" fontId="0" fillId="0" borderId="76" xfId="2" applyNumberFormat="1" applyFont="1" applyBorder="1" applyAlignment="1">
      <alignment horizontal="center"/>
    </xf>
    <xf numFmtId="166" fontId="0" fillId="0" borderId="80" xfId="2" applyNumberFormat="1" applyFont="1" applyBorder="1" applyAlignment="1">
      <alignment horizontal="center"/>
    </xf>
    <xf numFmtId="166" fontId="0" fillId="0" borderId="105" xfId="2" applyNumberFormat="1" applyFont="1" applyBorder="1" applyAlignment="1">
      <alignment horizontal="center"/>
    </xf>
    <xf numFmtId="166" fontId="0" fillId="0" borderId="128" xfId="2" applyNumberFormat="1" applyFont="1" applyBorder="1" applyAlignment="1">
      <alignment horizontal="center"/>
    </xf>
    <xf numFmtId="166" fontId="0" fillId="0" borderId="117" xfId="2" applyNumberFormat="1" applyFont="1" applyBorder="1" applyAlignment="1">
      <alignment horizontal="center"/>
    </xf>
    <xf numFmtId="0" fontId="2" fillId="4" borderId="176" xfId="0" applyFont="1" applyFill="1" applyBorder="1" applyAlignment="1">
      <alignment horizontal="center"/>
    </xf>
    <xf numFmtId="0" fontId="9" fillId="4" borderId="178" xfId="0" applyFont="1" applyFill="1" applyBorder="1" applyAlignment="1">
      <alignment horizontal="center" vertical="center" wrapText="1"/>
    </xf>
    <xf numFmtId="164" fontId="0" fillId="0" borderId="179" xfId="0" applyNumberFormat="1" applyFill="1" applyBorder="1"/>
    <xf numFmtId="164" fontId="0" fillId="0" borderId="177" xfId="0" applyNumberFormat="1" applyFill="1" applyBorder="1"/>
    <xf numFmtId="164" fontId="0" fillId="0" borderId="181" xfId="0" applyNumberFormat="1" applyFill="1" applyBorder="1"/>
    <xf numFmtId="164" fontId="2" fillId="0" borderId="182" xfId="0" applyNumberFormat="1" applyFont="1" applyFill="1" applyBorder="1"/>
    <xf numFmtId="164" fontId="0" fillId="6" borderId="183" xfId="0" applyNumberFormat="1" applyFill="1" applyBorder="1"/>
    <xf numFmtId="164" fontId="0" fillId="6" borderId="177" xfId="0" applyNumberFormat="1" applyFill="1" applyBorder="1"/>
    <xf numFmtId="9" fontId="0" fillId="0" borderId="177" xfId="2" applyFont="1" applyBorder="1"/>
    <xf numFmtId="9" fontId="0" fillId="6" borderId="184" xfId="2" applyFont="1" applyFill="1" applyBorder="1"/>
    <xf numFmtId="164" fontId="0" fillId="0" borderId="183" xfId="0" applyNumberFormat="1" applyBorder="1"/>
    <xf numFmtId="164" fontId="0" fillId="0" borderId="177" xfId="0" applyNumberFormat="1" applyBorder="1"/>
    <xf numFmtId="164" fontId="0" fillId="0" borderId="180" xfId="0" applyNumberFormat="1" applyBorder="1"/>
    <xf numFmtId="164" fontId="0" fillId="0" borderId="182" xfId="0" applyNumberFormat="1" applyBorder="1"/>
    <xf numFmtId="0" fontId="0" fillId="6" borderId="184" xfId="0" applyFill="1" applyBorder="1"/>
    <xf numFmtId="164" fontId="0" fillId="0" borderId="183" xfId="1" applyFont="1" applyBorder="1"/>
    <xf numFmtId="164" fontId="0" fillId="0" borderId="177" xfId="1" applyFont="1" applyFill="1" applyBorder="1"/>
    <xf numFmtId="164" fontId="0" fillId="0" borderId="180" xfId="1" applyFont="1" applyFill="1" applyBorder="1"/>
    <xf numFmtId="164" fontId="2" fillId="0" borderId="182" xfId="1" applyFont="1" applyFill="1" applyBorder="1"/>
    <xf numFmtId="164" fontId="0" fillId="0" borderId="183" xfId="1" applyFont="1" applyFill="1" applyBorder="1"/>
    <xf numFmtId="164" fontId="2" fillId="0" borderId="185" xfId="1" applyFont="1" applyFill="1" applyBorder="1"/>
    <xf numFmtId="164" fontId="0" fillId="0" borderId="186" xfId="1" applyFont="1" applyFill="1" applyBorder="1"/>
    <xf numFmtId="164" fontId="2" fillId="0" borderId="185" xfId="1" applyFont="1" applyBorder="1"/>
    <xf numFmtId="166" fontId="0" fillId="0" borderId="186" xfId="2" applyNumberFormat="1" applyFont="1" applyBorder="1" applyAlignment="1">
      <alignment horizontal="center"/>
    </xf>
    <xf numFmtId="9" fontId="0" fillId="6" borderId="187" xfId="2" applyFont="1" applyFill="1" applyBorder="1" applyAlignment="1">
      <alignment horizontal="center"/>
    </xf>
    <xf numFmtId="164" fontId="42" fillId="0" borderId="0" xfId="0" applyNumberFormat="1" applyFont="1"/>
    <xf numFmtId="0" fontId="3" fillId="16" borderId="0" xfId="0" applyFont="1" applyFill="1"/>
    <xf numFmtId="0" fontId="0" fillId="16" borderId="0" xfId="0" applyFill="1"/>
    <xf numFmtId="0" fontId="2" fillId="16" borderId="5" xfId="0" applyFont="1" applyFill="1" applyBorder="1" applyAlignment="1">
      <alignment horizontal="centerContinuous"/>
    </xf>
    <xf numFmtId="0" fontId="2" fillId="16" borderId="6" xfId="0" applyFont="1" applyFill="1" applyBorder="1" applyAlignment="1">
      <alignment horizontal="centerContinuous"/>
    </xf>
    <xf numFmtId="0" fontId="9" fillId="16" borderId="29" xfId="0" applyFont="1" applyFill="1" applyBorder="1" applyAlignment="1">
      <alignment horizontal="center" vertical="center" wrapText="1"/>
    </xf>
    <xf numFmtId="0" fontId="9" fillId="16" borderId="26" xfId="0" applyFont="1" applyFill="1" applyBorder="1" applyAlignment="1">
      <alignment horizontal="center" vertical="center" wrapText="1"/>
    </xf>
    <xf numFmtId="164" fontId="0" fillId="16" borderId="41" xfId="0" applyNumberFormat="1" applyFill="1" applyBorder="1"/>
    <xf numFmtId="164" fontId="0" fillId="16" borderId="42" xfId="0" applyNumberFormat="1" applyFill="1" applyBorder="1"/>
    <xf numFmtId="164" fontId="0" fillId="16" borderId="15" xfId="0" applyNumberFormat="1" applyFill="1" applyBorder="1"/>
    <xf numFmtId="164" fontId="0" fillId="16" borderId="16" xfId="0" applyNumberFormat="1" applyFill="1" applyBorder="1"/>
    <xf numFmtId="164" fontId="0" fillId="16" borderId="88" xfId="0" applyNumberFormat="1" applyFill="1" applyBorder="1"/>
    <xf numFmtId="164" fontId="0" fillId="16" borderId="89" xfId="0" applyNumberFormat="1" applyFill="1" applyBorder="1"/>
    <xf numFmtId="164" fontId="0" fillId="19" borderId="15" xfId="0" applyNumberFormat="1" applyFill="1" applyBorder="1"/>
    <xf numFmtId="164" fontId="0" fillId="19" borderId="16" xfId="0" applyNumberFormat="1" applyFill="1" applyBorder="1"/>
    <xf numFmtId="164" fontId="0" fillId="19" borderId="50" xfId="0" applyNumberFormat="1" applyFill="1" applyBorder="1"/>
    <xf numFmtId="164" fontId="0" fillId="19" borderId="49" xfId="0" applyNumberFormat="1" applyFill="1" applyBorder="1"/>
    <xf numFmtId="164" fontId="2" fillId="16" borderId="56" xfId="0" applyNumberFormat="1" applyFont="1" applyFill="1" applyBorder="1"/>
    <xf numFmtId="164" fontId="2" fillId="16" borderId="57" xfId="0" applyNumberFormat="1" applyFont="1" applyFill="1" applyBorder="1"/>
    <xf numFmtId="164" fontId="0" fillId="20" borderId="68" xfId="0" applyNumberFormat="1" applyFill="1" applyBorder="1"/>
    <xf numFmtId="164" fontId="17" fillId="16" borderId="83" xfId="0" applyNumberFormat="1" applyFont="1" applyFill="1" applyBorder="1"/>
    <xf numFmtId="164" fontId="0" fillId="20" borderId="17" xfId="0" applyNumberFormat="1" applyFill="1" applyBorder="1"/>
    <xf numFmtId="164" fontId="19" fillId="16" borderId="16" xfId="0" applyNumberFormat="1" applyFont="1" applyFill="1" applyBorder="1"/>
    <xf numFmtId="9" fontId="0" fillId="16" borderId="17" xfId="2" applyFont="1" applyFill="1" applyBorder="1"/>
    <xf numFmtId="9" fontId="0" fillId="20" borderId="16" xfId="2" applyFont="1" applyFill="1" applyBorder="1"/>
    <xf numFmtId="9" fontId="0" fillId="20" borderId="77" xfId="2" applyFont="1" applyFill="1" applyBorder="1"/>
    <xf numFmtId="9" fontId="0" fillId="16" borderId="105" xfId="2" applyFont="1" applyFill="1" applyBorder="1"/>
    <xf numFmtId="164" fontId="0" fillId="16" borderId="0" xfId="0" applyNumberFormat="1" applyFill="1"/>
    <xf numFmtId="0" fontId="9" fillId="16" borderId="30" xfId="0" applyFont="1" applyFill="1" applyBorder="1" applyAlignment="1">
      <alignment horizontal="center" vertical="center" wrapText="1"/>
    </xf>
    <xf numFmtId="164" fontId="0" fillId="16" borderId="95" xfId="0" applyNumberFormat="1" applyFill="1" applyBorder="1"/>
    <xf numFmtId="164" fontId="0" fillId="20" borderId="96" xfId="0" applyNumberFormat="1" applyFill="1" applyBorder="1"/>
    <xf numFmtId="0" fontId="2" fillId="16" borderId="7" xfId="0" applyFont="1" applyFill="1" applyBorder="1" applyAlignment="1">
      <alignment horizontal="centerContinuous"/>
    </xf>
    <xf numFmtId="164" fontId="0" fillId="16" borderId="68" xfId="0" applyNumberFormat="1" applyFill="1" applyBorder="1"/>
    <xf numFmtId="164" fontId="0" fillId="16" borderId="67" xfId="0" applyNumberFormat="1" applyFill="1" applyBorder="1"/>
    <xf numFmtId="164" fontId="0" fillId="16" borderId="17" xfId="0" applyNumberFormat="1" applyFill="1" applyBorder="1"/>
    <xf numFmtId="164" fontId="0" fillId="16" borderId="14" xfId="0" applyNumberFormat="1" applyFill="1" applyBorder="1"/>
    <xf numFmtId="164" fontId="0" fillId="16" borderId="104" xfId="0" applyNumberFormat="1" applyFill="1" applyBorder="1"/>
    <xf numFmtId="164" fontId="0" fillId="16" borderId="87" xfId="0" applyNumberFormat="1" applyFill="1" applyBorder="1"/>
    <xf numFmtId="164" fontId="0" fillId="16" borderId="58" xfId="0" applyNumberFormat="1" applyFill="1" applyBorder="1"/>
    <xf numFmtId="164" fontId="0" fillId="16" borderId="55" xfId="0" applyNumberFormat="1" applyFill="1" applyBorder="1"/>
    <xf numFmtId="166" fontId="0" fillId="16" borderId="77" xfId="2" applyNumberFormat="1" applyFont="1" applyFill="1" applyBorder="1" applyAlignment="1">
      <alignment horizontal="center"/>
    </xf>
    <xf numFmtId="166" fontId="0" fillId="16" borderId="76" xfId="2" applyNumberFormat="1" applyFont="1" applyFill="1" applyBorder="1" applyAlignment="1">
      <alignment horizontal="center"/>
    </xf>
    <xf numFmtId="0" fontId="9" fillId="16" borderId="110" xfId="0" applyFont="1" applyFill="1" applyBorder="1" applyAlignment="1">
      <alignment horizontal="center" vertical="center" wrapText="1"/>
    </xf>
    <xf numFmtId="164" fontId="0" fillId="16" borderId="112" xfId="1" applyFont="1" applyFill="1" applyBorder="1"/>
    <xf numFmtId="164" fontId="0" fillId="16" borderId="113" xfId="1" applyFont="1" applyFill="1" applyBorder="1"/>
    <xf numFmtId="164" fontId="0" fillId="16" borderId="115" xfId="1" applyFont="1" applyFill="1" applyBorder="1"/>
    <xf numFmtId="164" fontId="2" fillId="16" borderId="118" xfId="1" applyFont="1" applyFill="1" applyBorder="1"/>
    <xf numFmtId="164" fontId="2" fillId="16" borderId="122" xfId="1" applyFont="1" applyFill="1" applyBorder="1"/>
    <xf numFmtId="166" fontId="0" fillId="16" borderId="127" xfId="2" applyNumberFormat="1" applyFont="1" applyFill="1" applyBorder="1" applyAlignment="1">
      <alignment horizontal="center"/>
    </xf>
    <xf numFmtId="9" fontId="0" fillId="20" borderId="95" xfId="2" applyFont="1" applyFill="1" applyBorder="1" applyAlignment="1">
      <alignment horizontal="center"/>
    </xf>
    <xf numFmtId="164" fontId="0" fillId="16" borderId="0" xfId="1" applyFont="1" applyFill="1"/>
    <xf numFmtId="9" fontId="0" fillId="16" borderId="0" xfId="2" applyFont="1" applyFill="1"/>
    <xf numFmtId="0" fontId="42" fillId="16" borderId="0" xfId="0" applyFont="1" applyFill="1"/>
    <xf numFmtId="0" fontId="9" fillId="13" borderId="30" xfId="0" quotePrefix="1" applyFont="1" applyFill="1" applyBorder="1" applyAlignment="1">
      <alignment horizontal="center" vertical="center" wrapText="1"/>
    </xf>
    <xf numFmtId="9" fontId="0" fillId="6" borderId="76" xfId="2" applyFont="1" applyFill="1" applyBorder="1"/>
    <xf numFmtId="1" fontId="21" fillId="0" borderId="0" xfId="0" applyNumberFormat="1" applyFont="1" applyFill="1" applyBorder="1" applyAlignment="1">
      <alignment horizontal="right" indent="1"/>
    </xf>
    <xf numFmtId="0" fontId="22" fillId="11" borderId="190" xfId="0" quotePrefix="1" applyFont="1" applyFill="1" applyBorder="1" applyAlignment="1">
      <alignment horizontal="center" vertical="center" wrapText="1"/>
    </xf>
    <xf numFmtId="0" fontId="26" fillId="0" borderId="179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wrapText="1"/>
    </xf>
    <xf numFmtId="0" fontId="21" fillId="0" borderId="38" xfId="0" applyFont="1" applyFill="1" applyBorder="1" applyAlignment="1">
      <alignment horizontal="left" wrapText="1"/>
    </xf>
    <xf numFmtId="1" fontId="22" fillId="0" borderId="191" xfId="0" applyNumberFormat="1" applyFont="1" applyFill="1" applyBorder="1" applyAlignment="1">
      <alignment horizontal="right" indent="1"/>
    </xf>
    <xf numFmtId="0" fontId="26" fillId="0" borderId="180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left"/>
    </xf>
    <xf numFmtId="1" fontId="22" fillId="0" borderId="72" xfId="0" applyNumberFormat="1" applyFont="1" applyFill="1" applyBorder="1" applyAlignment="1">
      <alignment horizontal="right" indent="1"/>
    </xf>
    <xf numFmtId="167" fontId="21" fillId="0" borderId="165" xfId="0" applyNumberFormat="1" applyFont="1" applyFill="1" applyBorder="1" applyAlignment="1">
      <alignment horizontal="center"/>
    </xf>
    <xf numFmtId="0" fontId="30" fillId="0" borderId="192" xfId="0" applyFont="1" applyFill="1" applyBorder="1" applyAlignment="1">
      <alignment horizontal="center"/>
    </xf>
    <xf numFmtId="167" fontId="21" fillId="18" borderId="37" xfId="0" applyNumberFormat="1" applyFont="1" applyFill="1" applyBorder="1" applyAlignment="1">
      <alignment horizontal="center"/>
    </xf>
    <xf numFmtId="0" fontId="30" fillId="0" borderId="179" xfId="0" applyFont="1" applyFill="1" applyBorder="1" applyAlignment="1">
      <alignment horizontal="center"/>
    </xf>
    <xf numFmtId="167" fontId="21" fillId="0" borderId="37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 applyAlignment="1">
      <alignment horizontal="center"/>
    </xf>
    <xf numFmtId="0" fontId="30" fillId="0" borderId="177" xfId="0" applyFont="1" applyFill="1" applyBorder="1" applyAlignment="1">
      <alignment horizontal="center"/>
    </xf>
    <xf numFmtId="1" fontId="21" fillId="0" borderId="72" xfId="0" applyNumberFormat="1" applyFont="1" applyFill="1" applyBorder="1" applyAlignment="1">
      <alignment horizontal="right" indent="1"/>
    </xf>
    <xf numFmtId="0" fontId="21" fillId="0" borderId="22" xfId="0" applyFont="1" applyFill="1" applyBorder="1" applyAlignment="1">
      <alignment horizontal="center"/>
    </xf>
    <xf numFmtId="167" fontId="21" fillId="18" borderId="22" xfId="0" applyNumberFormat="1" applyFont="1" applyFill="1" applyBorder="1" applyAlignment="1">
      <alignment horizontal="center"/>
    </xf>
    <xf numFmtId="0" fontId="21" fillId="18" borderId="20" xfId="0" applyFont="1" applyFill="1" applyBorder="1" applyAlignment="1">
      <alignment horizontal="left"/>
    </xf>
    <xf numFmtId="0" fontId="21" fillId="18" borderId="20" xfId="0" applyFont="1" applyFill="1" applyBorder="1"/>
    <xf numFmtId="0" fontId="21" fillId="18" borderId="15" xfId="0" applyFont="1" applyFill="1" applyBorder="1" applyAlignment="1"/>
    <xf numFmtId="167" fontId="21" fillId="0" borderId="22" xfId="0" applyNumberFormat="1" applyFont="1" applyFill="1" applyBorder="1" applyAlignment="1">
      <alignment horizontal="center" vertical="center"/>
    </xf>
    <xf numFmtId="39" fontId="21" fillId="0" borderId="152" xfId="0" applyNumberFormat="1" applyFont="1" applyFill="1" applyBorder="1" applyAlignment="1">
      <alignment horizontal="right"/>
    </xf>
    <xf numFmtId="2" fontId="21" fillId="0" borderId="167" xfId="0" applyNumberFormat="1" applyFont="1" applyFill="1" applyBorder="1" applyAlignment="1"/>
    <xf numFmtId="0" fontId="27" fillId="0" borderId="22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left"/>
    </xf>
    <xf numFmtId="0" fontId="29" fillId="0" borderId="22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left"/>
    </xf>
    <xf numFmtId="167" fontId="21" fillId="0" borderId="168" xfId="0" applyNumberFormat="1" applyFont="1" applyFill="1" applyBorder="1" applyAlignment="1">
      <alignment horizontal="center"/>
    </xf>
    <xf numFmtId="0" fontId="26" fillId="0" borderId="178" xfId="0" applyFont="1" applyFill="1" applyBorder="1" applyAlignment="1">
      <alignment horizontal="center"/>
    </xf>
    <xf numFmtId="167" fontId="22" fillId="0" borderId="169" xfId="0" applyNumberFormat="1" applyFont="1" applyBorder="1" applyAlignment="1">
      <alignment horizontal="center"/>
    </xf>
    <xf numFmtId="0" fontId="26" fillId="0" borderId="187" xfId="0" applyFont="1" applyBorder="1" applyAlignment="1">
      <alignment horizontal="center"/>
    </xf>
    <xf numFmtId="164" fontId="21" fillId="0" borderId="0" xfId="1" applyFont="1" applyBorder="1" applyAlignment="1">
      <alignment horizontal="right"/>
    </xf>
    <xf numFmtId="0" fontId="21" fillId="0" borderId="0" xfId="0" applyFont="1" applyBorder="1" applyAlignment="1">
      <alignment horizontal="left" indent="2"/>
    </xf>
    <xf numFmtId="2" fontId="21" fillId="0" borderId="0" xfId="1" applyNumberFormat="1" applyFont="1" applyBorder="1" applyAlignment="1">
      <alignment horizontal="right"/>
    </xf>
    <xf numFmtId="2" fontId="22" fillId="0" borderId="0" xfId="1" applyNumberFormat="1" applyFont="1" applyBorder="1" applyAlignment="1">
      <alignment horizontal="right"/>
    </xf>
    <xf numFmtId="2" fontId="20" fillId="0" borderId="0" xfId="1" applyNumberFormat="1" applyFont="1" applyBorder="1" applyAlignment="1">
      <alignment horizontal="right"/>
    </xf>
    <xf numFmtId="2" fontId="20" fillId="0" borderId="0" xfId="0" applyNumberFormat="1" applyFont="1" applyBorder="1" applyAlignment="1">
      <alignment horizontal="right"/>
    </xf>
    <xf numFmtId="2" fontId="22" fillId="17" borderId="0" xfId="1" applyNumberFormat="1" applyFont="1" applyFill="1" applyBorder="1" applyAlignment="1">
      <alignment horizontal="right"/>
    </xf>
    <xf numFmtId="9" fontId="25" fillId="17" borderId="0" xfId="2" applyFont="1" applyFill="1" applyBorder="1" applyAlignment="1">
      <alignment horizontal="center"/>
    </xf>
    <xf numFmtId="2" fontId="22" fillId="0" borderId="34" xfId="0" applyNumberFormat="1" applyFont="1" applyBorder="1" applyAlignment="1">
      <alignment horizontal="center"/>
    </xf>
    <xf numFmtId="0" fontId="21" fillId="0" borderId="73" xfId="0" applyFont="1" applyFill="1" applyBorder="1" applyAlignment="1">
      <alignment horizontal="center"/>
    </xf>
    <xf numFmtId="0" fontId="21" fillId="0" borderId="74" xfId="0" applyFont="1" applyFill="1" applyBorder="1" applyAlignment="1">
      <alignment horizontal="left"/>
    </xf>
    <xf numFmtId="1" fontId="22" fillId="0" borderId="81" xfId="0" applyNumberFormat="1" applyFont="1" applyFill="1" applyBorder="1" applyAlignment="1">
      <alignment horizontal="right" indent="1"/>
    </xf>
    <xf numFmtId="44" fontId="22" fillId="0" borderId="0" xfId="1" applyNumberFormat="1" applyFont="1" applyFill="1" applyBorder="1" applyAlignment="1">
      <alignment horizontal="left"/>
    </xf>
    <xf numFmtId="0" fontId="22" fillId="11" borderId="193" xfId="0" applyFont="1" applyFill="1" applyBorder="1" applyAlignment="1">
      <alignment horizontal="center" vertical="center" wrapText="1"/>
    </xf>
    <xf numFmtId="44" fontId="22" fillId="0" borderId="0" xfId="1" applyNumberFormat="1" applyFont="1" applyFill="1" applyBorder="1" applyAlignment="1">
      <alignment horizontal="center" vertical="center" wrapText="1"/>
    </xf>
    <xf numFmtId="2" fontId="22" fillId="0" borderId="140" xfId="0" applyNumberFormat="1" applyFont="1" applyFill="1" applyBorder="1" applyAlignment="1">
      <alignment horizontal="right"/>
    </xf>
    <xf numFmtId="0" fontId="36" fillId="0" borderId="194" xfId="0" applyFont="1" applyFill="1" applyBorder="1" applyAlignment="1">
      <alignment horizontal="center"/>
    </xf>
    <xf numFmtId="0" fontId="36" fillId="0" borderId="195" xfId="0" applyFont="1" applyFill="1" applyBorder="1" applyAlignment="1">
      <alignment horizontal="center"/>
    </xf>
    <xf numFmtId="167" fontId="21" fillId="21" borderId="165" xfId="0" applyNumberFormat="1" applyFont="1" applyFill="1" applyBorder="1" applyAlignment="1">
      <alignment horizontal="center"/>
    </xf>
    <xf numFmtId="16" fontId="21" fillId="21" borderId="144" xfId="0" applyNumberFormat="1" applyFont="1" applyFill="1" applyBorder="1" applyAlignment="1">
      <alignment horizontal="left"/>
    </xf>
    <xf numFmtId="0" fontId="21" fillId="21" borderId="144" xfId="0" applyFont="1" applyFill="1" applyBorder="1" applyAlignment="1">
      <alignment horizontal="left"/>
    </xf>
    <xf numFmtId="0" fontId="21" fillId="21" borderId="145" xfId="0" applyFont="1" applyFill="1" applyBorder="1" applyAlignment="1">
      <alignment horizontal="left"/>
    </xf>
    <xf numFmtId="0" fontId="21" fillId="21" borderId="146" xfId="0" applyFont="1" applyFill="1" applyBorder="1" applyAlignment="1">
      <alignment horizontal="center"/>
    </xf>
    <xf numFmtId="2" fontId="21" fillId="21" borderId="147" xfId="0" applyNumberFormat="1" applyFont="1" applyFill="1" applyBorder="1" applyAlignment="1"/>
    <xf numFmtId="2" fontId="21" fillId="21" borderId="144" xfId="0" applyNumberFormat="1" applyFont="1" applyFill="1" applyBorder="1" applyAlignment="1"/>
    <xf numFmtId="2" fontId="21" fillId="21" borderId="146" xfId="0" applyNumberFormat="1" applyFont="1" applyFill="1" applyBorder="1" applyAlignment="1"/>
    <xf numFmtId="2" fontId="22" fillId="21" borderId="144" xfId="0" applyNumberFormat="1" applyFont="1" applyFill="1" applyBorder="1" applyAlignment="1"/>
    <xf numFmtId="2" fontId="22" fillId="21" borderId="145" xfId="0" applyNumberFormat="1" applyFont="1" applyFill="1" applyBorder="1" applyAlignment="1"/>
    <xf numFmtId="39" fontId="21" fillId="12" borderId="149" xfId="0" applyNumberFormat="1" applyFont="1" applyFill="1" applyBorder="1" applyAlignment="1">
      <alignment horizontal="right"/>
    </xf>
    <xf numFmtId="0" fontId="30" fillId="0" borderId="196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167" fontId="21" fillId="21" borderId="22" xfId="0" applyNumberFormat="1" applyFont="1" applyFill="1" applyBorder="1" applyAlignment="1">
      <alignment horizontal="center"/>
    </xf>
    <xf numFmtId="16" fontId="21" fillId="21" borderId="20" xfId="0" applyNumberFormat="1" applyFont="1" applyFill="1" applyBorder="1" applyAlignment="1">
      <alignment horizontal="left"/>
    </xf>
    <xf numFmtId="0" fontId="21" fillId="21" borderId="20" xfId="0" applyFont="1" applyFill="1" applyBorder="1" applyAlignment="1">
      <alignment horizontal="left"/>
    </xf>
    <xf numFmtId="0" fontId="21" fillId="21" borderId="16" xfId="0" applyFont="1" applyFill="1" applyBorder="1" applyAlignment="1">
      <alignment horizontal="left"/>
    </xf>
    <xf numFmtId="0" fontId="21" fillId="21" borderId="23" xfId="0" applyFont="1" applyFill="1" applyBorder="1" applyAlignment="1">
      <alignment horizontal="center"/>
    </xf>
    <xf numFmtId="2" fontId="21" fillId="21" borderId="15" xfId="0" applyNumberFormat="1" applyFont="1" applyFill="1" applyBorder="1" applyAlignment="1"/>
    <xf numFmtId="2" fontId="21" fillId="21" borderId="20" xfId="0" applyNumberFormat="1" applyFont="1" applyFill="1" applyBorder="1" applyAlignment="1"/>
    <xf numFmtId="2" fontId="21" fillId="21" borderId="23" xfId="0" applyNumberFormat="1" applyFont="1" applyFill="1" applyBorder="1" applyAlignment="1"/>
    <xf numFmtId="2" fontId="22" fillId="21" borderId="20" xfId="0" applyNumberFormat="1" applyFont="1" applyFill="1" applyBorder="1" applyAlignment="1"/>
    <xf numFmtId="2" fontId="22" fillId="21" borderId="16" xfId="0" applyNumberFormat="1" applyFont="1" applyFill="1" applyBorder="1" applyAlignment="1"/>
    <xf numFmtId="0" fontId="30" fillId="0" borderId="197" xfId="0" applyFont="1" applyFill="1" applyBorder="1" applyAlignment="1">
      <alignment horizontal="center"/>
    </xf>
    <xf numFmtId="0" fontId="30" fillId="0" borderId="194" xfId="0" applyFont="1" applyFill="1" applyBorder="1" applyAlignment="1">
      <alignment horizontal="center"/>
    </xf>
    <xf numFmtId="0" fontId="21" fillId="21" borderId="20" xfId="0" applyFont="1" applyFill="1" applyBorder="1"/>
    <xf numFmtId="0" fontId="21" fillId="21" borderId="42" xfId="0" applyFont="1" applyFill="1" applyBorder="1" applyAlignment="1">
      <alignment horizontal="left"/>
    </xf>
    <xf numFmtId="0" fontId="21" fillId="21" borderId="20" xfId="0" applyFont="1" applyFill="1" applyBorder="1" applyAlignment="1"/>
    <xf numFmtId="0" fontId="21" fillId="21" borderId="23" xfId="0" applyFont="1" applyFill="1" applyBorder="1" applyAlignment="1"/>
    <xf numFmtId="4" fontId="21" fillId="21" borderId="15" xfId="0" applyNumberFormat="1" applyFont="1" applyFill="1" applyBorder="1" applyAlignment="1"/>
    <xf numFmtId="164" fontId="21" fillId="21" borderId="20" xfId="1" applyFont="1" applyFill="1" applyBorder="1" applyAlignment="1"/>
    <xf numFmtId="0" fontId="21" fillId="21" borderId="16" xfId="0" applyFont="1" applyFill="1" applyBorder="1" applyAlignment="1"/>
    <xf numFmtId="164" fontId="21" fillId="0" borderId="20" xfId="1" applyFont="1" applyFill="1" applyBorder="1" applyAlignment="1"/>
    <xf numFmtId="0" fontId="48" fillId="0" borderId="0" xfId="0" applyFont="1" applyFill="1" applyBorder="1" applyAlignment="1">
      <alignment horizontal="left"/>
    </xf>
    <xf numFmtId="0" fontId="31" fillId="0" borderId="20" xfId="0" applyFont="1" applyFill="1" applyBorder="1"/>
    <xf numFmtId="9" fontId="48" fillId="0" borderId="0" xfId="2" applyFont="1" applyFill="1" applyBorder="1" applyAlignment="1">
      <alignment horizontal="left"/>
    </xf>
    <xf numFmtId="0" fontId="26" fillId="0" borderId="193" xfId="0" applyFont="1" applyFill="1" applyBorder="1" applyAlignment="1">
      <alignment horizontal="center"/>
    </xf>
    <xf numFmtId="9" fontId="20" fillId="0" borderId="0" xfId="2" applyFont="1" applyFill="1" applyBorder="1" applyAlignment="1">
      <alignment horizontal="center"/>
    </xf>
    <xf numFmtId="2" fontId="22" fillId="12" borderId="171" xfId="0" applyNumberFormat="1" applyFont="1" applyFill="1" applyBorder="1" applyAlignment="1">
      <alignment horizontal="center"/>
    </xf>
    <xf numFmtId="0" fontId="26" fillId="0" borderId="198" xfId="0" applyFont="1" applyBorder="1" applyAlignment="1">
      <alignment horizontal="center"/>
    </xf>
    <xf numFmtId="164" fontId="20" fillId="0" borderId="0" xfId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3" fillId="0" borderId="0" xfId="0" applyFont="1"/>
    <xf numFmtId="0" fontId="53" fillId="0" borderId="0" xfId="0" applyFont="1" applyFill="1"/>
    <xf numFmtId="164" fontId="2" fillId="6" borderId="48" xfId="0" applyNumberFormat="1" applyFont="1" applyFill="1" applyBorder="1"/>
    <xf numFmtId="0" fontId="0" fillId="0" borderId="54" xfId="0" applyBorder="1"/>
    <xf numFmtId="164" fontId="0" fillId="16" borderId="56" xfId="0" applyNumberFormat="1" applyFill="1" applyBorder="1"/>
    <xf numFmtId="164" fontId="0" fillId="16" borderId="57" xfId="0" applyNumberFormat="1" applyFill="1" applyBorder="1"/>
    <xf numFmtId="164" fontId="0" fillId="0" borderId="58" xfId="0" applyNumberFormat="1" applyFill="1" applyBorder="1"/>
    <xf numFmtId="164" fontId="0" fillId="0" borderId="55" xfId="0" applyNumberFormat="1" applyFill="1" applyBorder="1"/>
    <xf numFmtId="164" fontId="0" fillId="0" borderId="61" xfId="0" applyNumberFormat="1" applyFill="1" applyBorder="1"/>
    <xf numFmtId="164" fontId="0" fillId="15" borderId="104" xfId="0" applyNumberFormat="1" applyFill="1" applyBorder="1"/>
    <xf numFmtId="164" fontId="0" fillId="15" borderId="87" xfId="0" applyNumberFormat="1" applyFill="1" applyBorder="1"/>
    <xf numFmtId="164" fontId="0" fillId="22" borderId="68" xfId="0" applyNumberFormat="1" applyFill="1" applyBorder="1"/>
    <xf numFmtId="164" fontId="0" fillId="22" borderId="67" xfId="0" applyNumberFormat="1" applyFill="1" applyBorder="1"/>
    <xf numFmtId="164" fontId="0" fillId="22" borderId="71" xfId="0" applyNumberFormat="1" applyFill="1" applyBorder="1"/>
    <xf numFmtId="166" fontId="0" fillId="0" borderId="128" xfId="2" applyNumberFormat="1" applyFont="1" applyFill="1" applyBorder="1" applyAlignment="1">
      <alignment horizontal="center"/>
    </xf>
    <xf numFmtId="9" fontId="0" fillId="0" borderId="91" xfId="2" applyFont="1" applyFill="1" applyBorder="1" applyAlignment="1">
      <alignment horizontal="center"/>
    </xf>
    <xf numFmtId="164" fontId="9" fillId="0" borderId="116" xfId="1" applyFont="1" applyFill="1" applyBorder="1"/>
    <xf numFmtId="9" fontId="0" fillId="23" borderId="95" xfId="2" applyFont="1" applyFill="1" applyBorder="1" applyAlignment="1">
      <alignment horizontal="center"/>
    </xf>
    <xf numFmtId="9" fontId="0" fillId="0" borderId="97" xfId="2" applyFont="1" applyFill="1" applyBorder="1" applyAlignment="1">
      <alignment horizontal="center"/>
    </xf>
    <xf numFmtId="164" fontId="0" fillId="19" borderId="205" xfId="0" applyNumberFormat="1" applyFill="1" applyBorder="1"/>
    <xf numFmtId="164" fontId="0" fillId="19" borderId="206" xfId="0" applyNumberFormat="1" applyFill="1" applyBorder="1"/>
    <xf numFmtId="164" fontId="0" fillId="0" borderId="207" xfId="0" applyNumberFormat="1" applyFill="1" applyBorder="1"/>
    <xf numFmtId="164" fontId="0" fillId="15" borderId="17" xfId="0" applyNumberFormat="1" applyFill="1" applyBorder="1"/>
    <xf numFmtId="164" fontId="0" fillId="15" borderId="16" xfId="0" applyNumberFormat="1" applyFill="1" applyBorder="1"/>
    <xf numFmtId="0" fontId="22" fillId="11" borderId="8" xfId="0" applyFont="1" applyFill="1" applyBorder="1" applyAlignment="1">
      <alignment horizontal="center"/>
    </xf>
    <xf numFmtId="164" fontId="54" fillId="0" borderId="0" xfId="1" applyFont="1"/>
    <xf numFmtId="164" fontId="55" fillId="0" borderId="0" xfId="0" applyNumberFormat="1" applyFont="1"/>
    <xf numFmtId="0" fontId="2" fillId="4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2" fontId="21" fillId="21" borderId="20" xfId="1" applyNumberFormat="1" applyFont="1" applyFill="1" applyBorder="1" applyAlignment="1"/>
    <xf numFmtId="2" fontId="21" fillId="21" borderId="16" xfId="0" applyNumberFormat="1" applyFont="1" applyFill="1" applyBorder="1" applyAlignment="1"/>
    <xf numFmtId="2" fontId="34" fillId="0" borderId="20" xfId="0" applyNumberFormat="1" applyFont="1" applyFill="1" applyBorder="1" applyAlignment="1"/>
    <xf numFmtId="2" fontId="21" fillId="0" borderId="29" xfId="1" applyNumberFormat="1" applyFont="1" applyFill="1" applyBorder="1" applyAlignment="1"/>
    <xf numFmtId="0" fontId="56" fillId="0" borderId="0" xfId="0" applyFont="1" applyBorder="1" applyAlignment="1">
      <alignment horizontal="center"/>
    </xf>
    <xf numFmtId="0" fontId="56" fillId="0" borderId="0" xfId="0" applyFont="1" applyBorder="1" applyAlignment="1">
      <alignment horizontal="left"/>
    </xf>
    <xf numFmtId="2" fontId="56" fillId="0" borderId="0" xfId="0" applyNumberFormat="1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left"/>
    </xf>
    <xf numFmtId="165" fontId="56" fillId="0" borderId="0" xfId="1" applyNumberFormat="1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7" fillId="0" borderId="0" xfId="0" applyFont="1" applyBorder="1" applyAlignment="1">
      <alignment horizontal="left"/>
    </xf>
    <xf numFmtId="0" fontId="59" fillId="0" borderId="0" xfId="0" applyFont="1" applyBorder="1" applyAlignment="1">
      <alignment horizontal="left"/>
    </xf>
    <xf numFmtId="0" fontId="60" fillId="0" borderId="0" xfId="0" applyFont="1" applyBorder="1" applyAlignment="1">
      <alignment horizontal="left"/>
    </xf>
    <xf numFmtId="0" fontId="60" fillId="0" borderId="0" xfId="0" applyFont="1" applyBorder="1" applyAlignment="1">
      <alignment horizontal="center"/>
    </xf>
    <xf numFmtId="2" fontId="60" fillId="0" borderId="0" xfId="0" applyNumberFormat="1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left"/>
    </xf>
    <xf numFmtId="165" fontId="60" fillId="0" borderId="0" xfId="1" applyNumberFormat="1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62" fillId="0" borderId="0" xfId="0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0" fontId="63" fillId="0" borderId="0" xfId="0" applyFont="1" applyBorder="1" applyAlignment="1">
      <alignment horizontal="center"/>
    </xf>
    <xf numFmtId="2" fontId="63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 applyAlignment="1">
      <alignment horizontal="left"/>
    </xf>
    <xf numFmtId="165" fontId="63" fillId="0" borderId="0" xfId="1" applyNumberFormat="1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Continuous"/>
    </xf>
    <xf numFmtId="0" fontId="9" fillId="4" borderId="29" xfId="0" applyFont="1" applyFill="1" applyBorder="1" applyAlignment="1">
      <alignment horizontal="center" vertical="center" wrapText="1"/>
    </xf>
    <xf numFmtId="164" fontId="0" fillId="0" borderId="15" xfId="1" applyFont="1" applyFill="1" applyBorder="1"/>
    <xf numFmtId="164" fontId="0" fillId="0" borderId="88" xfId="1" applyFont="1" applyFill="1" applyBorder="1"/>
    <xf numFmtId="164" fontId="2" fillId="0" borderId="56" xfId="1" applyFont="1" applyFill="1" applyBorder="1"/>
    <xf numFmtId="164" fontId="2" fillId="0" borderId="208" xfId="1" applyFont="1" applyFill="1" applyBorder="1"/>
    <xf numFmtId="2" fontId="24" fillId="17" borderId="38" xfId="0" applyNumberFormat="1" applyFont="1" applyFill="1" applyBorder="1" applyAlignment="1">
      <alignment horizontal="center"/>
    </xf>
    <xf numFmtId="2" fontId="29" fillId="0" borderId="42" xfId="0" applyNumberFormat="1" applyFont="1" applyFill="1" applyBorder="1" applyAlignment="1">
      <alignment horizontal="center"/>
    </xf>
    <xf numFmtId="0" fontId="37" fillId="0" borderId="196" xfId="0" applyFont="1" applyFill="1" applyBorder="1" applyAlignment="1">
      <alignment horizontal="center"/>
    </xf>
    <xf numFmtId="167" fontId="21" fillId="21" borderId="37" xfId="0" applyNumberFormat="1" applyFont="1" applyFill="1" applyBorder="1" applyAlignment="1">
      <alignment horizontal="center"/>
    </xf>
    <xf numFmtId="16" fontId="21" fillId="21" borderId="38" xfId="0" applyNumberFormat="1" applyFont="1" applyFill="1" applyBorder="1" applyAlignment="1">
      <alignment horizontal="left"/>
    </xf>
    <xf numFmtId="0" fontId="21" fillId="21" borderId="38" xfId="0" applyFont="1" applyFill="1" applyBorder="1" applyAlignment="1">
      <alignment horizontal="left"/>
    </xf>
    <xf numFmtId="0" fontId="21" fillId="21" borderId="39" xfId="0" applyFont="1" applyFill="1" applyBorder="1" applyAlignment="1">
      <alignment horizontal="center"/>
    </xf>
    <xf numFmtId="2" fontId="21" fillId="21" borderId="41" xfId="0" applyNumberFormat="1" applyFont="1" applyFill="1" applyBorder="1" applyAlignment="1"/>
    <xf numFmtId="2" fontId="21" fillId="21" borderId="38" xfId="0" applyNumberFormat="1" applyFont="1" applyFill="1" applyBorder="1" applyAlignment="1"/>
    <xf numFmtId="2" fontId="21" fillId="21" borderId="39" xfId="0" applyNumberFormat="1" applyFont="1" applyFill="1" applyBorder="1" applyAlignment="1"/>
    <xf numFmtId="2" fontId="22" fillId="21" borderId="38" xfId="0" applyNumberFormat="1" applyFont="1" applyFill="1" applyBorder="1" applyAlignment="1"/>
    <xf numFmtId="2" fontId="22" fillId="21" borderId="42" xfId="0" applyNumberFormat="1" applyFont="1" applyFill="1" applyBorder="1" applyAlignment="1"/>
    <xf numFmtId="0" fontId="37" fillId="0" borderId="194" xfId="0" applyFont="1" applyFill="1" applyBorder="1" applyAlignment="1">
      <alignment horizontal="center"/>
    </xf>
    <xf numFmtId="0" fontId="21" fillId="12" borderId="16" xfId="0" applyFont="1" applyFill="1" applyBorder="1" applyAlignment="1">
      <alignment horizontal="left"/>
    </xf>
    <xf numFmtId="0" fontId="37" fillId="0" borderId="197" xfId="0" applyFont="1" applyFill="1" applyBorder="1" applyAlignment="1">
      <alignment horizontal="center"/>
    </xf>
    <xf numFmtId="9" fontId="33" fillId="0" borderId="0" xfId="2" applyFont="1" applyFill="1" applyBorder="1" applyAlignment="1">
      <alignment horizontal="center"/>
    </xf>
    <xf numFmtId="0" fontId="36" fillId="0" borderId="193" xfId="0" applyFont="1" applyFill="1" applyBorder="1" applyAlignment="1">
      <alignment horizontal="center"/>
    </xf>
    <xf numFmtId="0" fontId="22" fillId="0" borderId="198" xfId="0" applyFont="1" applyBorder="1" applyAlignment="1">
      <alignment horizontal="center"/>
    </xf>
    <xf numFmtId="164" fontId="0" fillId="0" borderId="87" xfId="0" applyNumberFormat="1" applyFill="1" applyBorder="1"/>
    <xf numFmtId="164" fontId="0" fillId="0" borderId="104" xfId="0" applyNumberFormat="1" applyFill="1" applyBorder="1"/>
    <xf numFmtId="166" fontId="0" fillId="0" borderId="0" xfId="2" applyNumberFormat="1" applyFont="1"/>
    <xf numFmtId="164" fontId="0" fillId="0" borderId="83" xfId="0" applyNumberFormat="1" applyFill="1" applyBorder="1"/>
    <xf numFmtId="164" fontId="0" fillId="0" borderId="21" xfId="1" applyFont="1" applyFill="1" applyBorder="1"/>
    <xf numFmtId="164" fontId="0" fillId="0" borderId="209" xfId="1" applyFont="1" applyFill="1" applyBorder="1"/>
    <xf numFmtId="164" fontId="2" fillId="0" borderId="62" xfId="1" applyFont="1" applyFill="1" applyBorder="1"/>
    <xf numFmtId="164" fontId="2" fillId="0" borderId="210" xfId="1" applyFont="1" applyFill="1" applyBorder="1"/>
    <xf numFmtId="164" fontId="2" fillId="0" borderId="210" xfId="1" applyFont="1" applyBorder="1"/>
    <xf numFmtId="166" fontId="0" fillId="0" borderId="211" xfId="2" applyNumberFormat="1" applyFont="1" applyBorder="1" applyAlignment="1">
      <alignment horizontal="center"/>
    </xf>
    <xf numFmtId="9" fontId="0" fillId="0" borderId="212" xfId="2" applyFont="1" applyFill="1" applyBorder="1" applyAlignment="1">
      <alignment horizontal="center"/>
    </xf>
    <xf numFmtId="9" fontId="0" fillId="0" borderId="213" xfId="2" applyFont="1" applyFill="1" applyBorder="1" applyAlignment="1">
      <alignment horizontal="center"/>
    </xf>
    <xf numFmtId="164" fontId="65" fillId="0" borderId="114" xfId="1" applyFont="1" applyFill="1" applyBorder="1"/>
    <xf numFmtId="0" fontId="22" fillId="11" borderId="8" xfId="0" applyFont="1" applyFill="1" applyBorder="1" applyAlignment="1">
      <alignment horizontal="center"/>
    </xf>
    <xf numFmtId="0" fontId="67" fillId="0" borderId="194" xfId="0" applyFont="1" applyFill="1" applyBorder="1" applyAlignment="1">
      <alignment horizontal="center"/>
    </xf>
    <xf numFmtId="0" fontId="67" fillId="0" borderId="195" xfId="0" applyFont="1" applyFill="1" applyBorder="1" applyAlignment="1">
      <alignment horizontal="center"/>
    </xf>
    <xf numFmtId="0" fontId="68" fillId="0" borderId="196" xfId="0" applyFont="1" applyFill="1" applyBorder="1" applyAlignment="1">
      <alignment horizontal="center"/>
    </xf>
    <xf numFmtId="0" fontId="68" fillId="0" borderId="194" xfId="0" applyFont="1" applyFill="1" applyBorder="1" applyAlignment="1">
      <alignment horizontal="center"/>
    </xf>
    <xf numFmtId="0" fontId="68" fillId="0" borderId="197" xfId="0" applyFont="1" applyFill="1" applyBorder="1" applyAlignment="1">
      <alignment horizontal="center"/>
    </xf>
    <xf numFmtId="2" fontId="22" fillId="21" borderId="14" xfId="0" applyNumberFormat="1" applyFont="1" applyFill="1" applyBorder="1" applyAlignment="1"/>
    <xf numFmtId="2" fontId="21" fillId="0" borderId="14" xfId="0" applyNumberFormat="1" applyFont="1" applyFill="1" applyBorder="1" applyAlignment="1"/>
    <xf numFmtId="164" fontId="21" fillId="0" borderId="0" xfId="1" applyFont="1" applyFill="1" applyBorder="1" applyAlignment="1">
      <alignment horizontal="center"/>
    </xf>
    <xf numFmtId="9" fontId="31" fillId="0" borderId="0" xfId="2" applyFont="1" applyFill="1" applyBorder="1" applyAlignment="1">
      <alignment horizontal="left"/>
    </xf>
    <xf numFmtId="16" fontId="31" fillId="0" borderId="20" xfId="0" applyNumberFormat="1" applyFont="1" applyFill="1" applyBorder="1" applyAlignment="1">
      <alignment horizontal="left" vertical="center"/>
    </xf>
    <xf numFmtId="0" fontId="31" fillId="0" borderId="20" xfId="0" applyFont="1" applyFill="1" applyBorder="1" applyAlignment="1">
      <alignment horizontal="left" wrapText="1"/>
    </xf>
    <xf numFmtId="0" fontId="31" fillId="0" borderId="42" xfId="0" applyFont="1" applyFill="1" applyBorder="1" applyAlignment="1">
      <alignment horizontal="left"/>
    </xf>
    <xf numFmtId="16" fontId="34" fillId="0" borderId="20" xfId="0" applyNumberFormat="1" applyFont="1" applyFill="1" applyBorder="1" applyAlignment="1">
      <alignment horizontal="left" vertical="center"/>
    </xf>
    <xf numFmtId="0" fontId="34" fillId="0" borderId="20" xfId="0" applyFont="1" applyFill="1" applyBorder="1" applyAlignment="1">
      <alignment horizontal="left" wrapText="1"/>
    </xf>
    <xf numFmtId="0" fontId="34" fillId="0" borderId="42" xfId="0" applyFont="1" applyFill="1" applyBorder="1" applyAlignment="1">
      <alignment horizontal="left"/>
    </xf>
    <xf numFmtId="0" fontId="34" fillId="8" borderId="23" xfId="0" applyFont="1" applyFill="1" applyBorder="1" applyAlignment="1">
      <alignment horizontal="center"/>
    </xf>
    <xf numFmtId="2" fontId="34" fillId="0" borderId="15" xfId="0" applyNumberFormat="1" applyFont="1" applyFill="1" applyBorder="1" applyAlignment="1"/>
    <xf numFmtId="2" fontId="34" fillId="0" borderId="23" xfId="0" applyNumberFormat="1" applyFont="1" applyFill="1" applyBorder="1" applyAlignment="1"/>
    <xf numFmtId="2" fontId="34" fillId="0" borderId="15" xfId="1" applyNumberFormat="1" applyFont="1" applyFill="1" applyBorder="1" applyAlignment="1"/>
    <xf numFmtId="2" fontId="34" fillId="0" borderId="16" xfId="0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0" fontId="34" fillId="0" borderId="23" xfId="0" applyFont="1" applyFill="1" applyBorder="1" applyAlignment="1">
      <alignment horizontal="center"/>
    </xf>
    <xf numFmtId="16" fontId="34" fillId="0" borderId="20" xfId="0" applyNumberFormat="1" applyFont="1" applyFill="1" applyBorder="1" applyAlignment="1">
      <alignment horizontal="left"/>
    </xf>
    <xf numFmtId="0" fontId="34" fillId="0" borderId="16" xfId="0" applyFont="1" applyFill="1" applyBorder="1"/>
    <xf numFmtId="16" fontId="34" fillId="21" borderId="20" xfId="0" applyNumberFormat="1" applyFont="1" applyFill="1" applyBorder="1" applyAlignment="1">
      <alignment horizontal="left"/>
    </xf>
    <xf numFmtId="0" fontId="34" fillId="21" borderId="20" xfId="0" applyFont="1" applyFill="1" applyBorder="1" applyAlignment="1">
      <alignment horizontal="left"/>
    </xf>
    <xf numFmtId="0" fontId="67" fillId="0" borderId="193" xfId="0" applyFont="1" applyFill="1" applyBorder="1" applyAlignment="1">
      <alignment horizontal="center"/>
    </xf>
    <xf numFmtId="0" fontId="67" fillId="0" borderId="198" xfId="0" applyFont="1" applyBorder="1" applyAlignment="1">
      <alignment horizontal="center"/>
    </xf>
    <xf numFmtId="0" fontId="22" fillId="11" borderId="175" xfId="0" applyFont="1" applyFill="1" applyBorder="1" applyAlignment="1">
      <alignment horizontal="center"/>
    </xf>
    <xf numFmtId="0" fontId="25" fillId="0" borderId="99" xfId="0" applyFont="1" applyFill="1" applyBorder="1" applyAlignment="1">
      <alignment horizontal="center"/>
    </xf>
    <xf numFmtId="0" fontId="25" fillId="0" borderId="99" xfId="0" applyFont="1" applyFill="1" applyBorder="1" applyAlignment="1">
      <alignment horizontal="center" vertical="center" wrapText="1"/>
    </xf>
    <xf numFmtId="0" fontId="20" fillId="0" borderId="99" xfId="0" applyFont="1" applyFill="1" applyBorder="1" applyAlignment="1">
      <alignment horizontal="center"/>
    </xf>
    <xf numFmtId="2" fontId="21" fillId="9" borderId="167" xfId="0" applyNumberFormat="1" applyFont="1" applyFill="1" applyBorder="1" applyAlignment="1"/>
    <xf numFmtId="0" fontId="69" fillId="0" borderId="0" xfId="0" applyFont="1" applyFill="1" applyBorder="1" applyAlignment="1">
      <alignment horizontal="left"/>
    </xf>
    <xf numFmtId="167" fontId="21" fillId="0" borderId="25" xfId="0" applyNumberFormat="1" applyFont="1" applyFill="1" applyBorder="1" applyAlignment="1">
      <alignment horizontal="center"/>
    </xf>
    <xf numFmtId="16" fontId="21" fillId="0" borderId="33" xfId="0" applyNumberFormat="1" applyFont="1" applyFill="1" applyBorder="1" applyAlignment="1">
      <alignment horizontal="left"/>
    </xf>
    <xf numFmtId="164" fontId="21" fillId="0" borderId="0" xfId="1" applyFont="1" applyBorder="1" applyAlignment="1">
      <alignment horizontal="left"/>
    </xf>
    <xf numFmtId="165" fontId="34" fillId="0" borderId="0" xfId="1" applyNumberFormat="1" applyFont="1" applyBorder="1" applyAlignment="1">
      <alignment horizontal="center"/>
    </xf>
    <xf numFmtId="9" fontId="21" fillId="0" borderId="0" xfId="2" applyFont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9" fontId="21" fillId="0" borderId="0" xfId="2" applyFont="1" applyFill="1" applyBorder="1" applyAlignment="1">
      <alignment horizontal="center"/>
    </xf>
    <xf numFmtId="9" fontId="22" fillId="0" borderId="0" xfId="2" applyFont="1" applyBorder="1" applyAlignment="1">
      <alignment horizontal="center"/>
    </xf>
    <xf numFmtId="0" fontId="2" fillId="4" borderId="1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2" applyNumberFormat="1" applyFont="1" applyFill="1"/>
    <xf numFmtId="9" fontId="9" fillId="0" borderId="0" xfId="2" applyFont="1" applyFill="1"/>
    <xf numFmtId="164" fontId="9" fillId="4" borderId="51" xfId="1" applyFont="1" applyFill="1" applyBorder="1"/>
    <xf numFmtId="2" fontId="9" fillId="0" borderId="125" xfId="0" applyNumberFormat="1" applyFont="1" applyFill="1" applyBorder="1" applyAlignment="1">
      <alignment horizontal="center"/>
    </xf>
    <xf numFmtId="2" fontId="9" fillId="0" borderId="37" xfId="0" applyNumberFormat="1" applyFont="1" applyFill="1" applyBorder="1" applyAlignment="1">
      <alignment horizontal="center"/>
    </xf>
    <xf numFmtId="2" fontId="9" fillId="0" borderId="22" xfId="0" applyNumberFormat="1" applyFont="1" applyFill="1" applyBorder="1" applyAlignment="1">
      <alignment horizontal="center"/>
    </xf>
    <xf numFmtId="2" fontId="9" fillId="0" borderId="85" xfId="0" applyNumberFormat="1" applyFont="1" applyFill="1" applyBorder="1" applyAlignment="1">
      <alignment horizontal="center"/>
    </xf>
    <xf numFmtId="2" fontId="9" fillId="0" borderId="120" xfId="0" applyNumberFormat="1" applyFont="1" applyFill="1" applyBorder="1" applyAlignment="1">
      <alignment horizontal="center"/>
    </xf>
    <xf numFmtId="2" fontId="9" fillId="0" borderId="90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2" fontId="9" fillId="3" borderId="22" xfId="0" applyNumberFormat="1" applyFont="1" applyFill="1" applyBorder="1" applyAlignment="1">
      <alignment horizontal="center"/>
    </xf>
    <xf numFmtId="166" fontId="0" fillId="0" borderId="106" xfId="2" applyNumberFormat="1" applyFont="1" applyFill="1" applyBorder="1"/>
    <xf numFmtId="2" fontId="9" fillId="0" borderId="102" xfId="0" applyNumberFormat="1" applyFont="1" applyFill="1" applyBorder="1" applyAlignment="1">
      <alignment horizontal="center"/>
    </xf>
    <xf numFmtId="0" fontId="2" fillId="0" borderId="206" xfId="0" applyFont="1" applyBorder="1"/>
    <xf numFmtId="164" fontId="0" fillId="0" borderId="207" xfId="1" applyFont="1" applyFill="1" applyBorder="1"/>
    <xf numFmtId="0" fontId="0" fillId="0" borderId="12" xfId="0" applyBorder="1"/>
    <xf numFmtId="164" fontId="0" fillId="16" borderId="12" xfId="1" applyFont="1" applyFill="1" applyBorder="1"/>
    <xf numFmtId="164" fontId="0" fillId="0" borderId="12" xfId="1" applyFont="1" applyFill="1" applyBorder="1"/>
    <xf numFmtId="0" fontId="2" fillId="0" borderId="214" xfId="0" applyFont="1" applyBorder="1"/>
    <xf numFmtId="0" fontId="54" fillId="0" borderId="103" xfId="0" applyFont="1" applyBorder="1"/>
    <xf numFmtId="164" fontId="0" fillId="16" borderId="215" xfId="1" applyFont="1" applyFill="1" applyBorder="1"/>
    <xf numFmtId="164" fontId="0" fillId="0" borderId="108" xfId="1" applyFont="1" applyFill="1" applyBorder="1"/>
    <xf numFmtId="164" fontId="0" fillId="0" borderId="216" xfId="1" applyFont="1" applyFill="1" applyBorder="1"/>
    <xf numFmtId="164" fontId="0" fillId="0" borderId="205" xfId="1" applyFont="1" applyFill="1" applyBorder="1"/>
    <xf numFmtId="164" fontId="0" fillId="0" borderId="101" xfId="1" applyFont="1" applyFill="1" applyBorder="1"/>
    <xf numFmtId="2" fontId="9" fillId="0" borderId="165" xfId="0" applyNumberFormat="1" applyFont="1" applyFill="1" applyBorder="1" applyAlignment="1">
      <alignment horizontal="center"/>
    </xf>
    <xf numFmtId="164" fontId="0" fillId="16" borderId="217" xfId="1" applyFont="1" applyFill="1" applyBorder="1"/>
    <xf numFmtId="0" fontId="0" fillId="16" borderId="217" xfId="0" applyFill="1" applyBorder="1"/>
    <xf numFmtId="164" fontId="0" fillId="0" borderId="217" xfId="1" applyFont="1" applyFill="1" applyBorder="1"/>
    <xf numFmtId="0" fontId="0" fillId="0" borderId="217" xfId="0" applyBorder="1"/>
    <xf numFmtId="2" fontId="9" fillId="0" borderId="25" xfId="0" applyNumberFormat="1" applyFont="1" applyFill="1" applyBorder="1" applyAlignment="1">
      <alignment horizontal="center"/>
    </xf>
    <xf numFmtId="0" fontId="0" fillId="0" borderId="34" xfId="0" applyBorder="1"/>
    <xf numFmtId="164" fontId="0" fillId="16" borderId="34" xfId="1" applyFont="1" applyFill="1" applyBorder="1"/>
    <xf numFmtId="0" fontId="0" fillId="16" borderId="34" xfId="0" applyFill="1" applyBorder="1"/>
    <xf numFmtId="164" fontId="0" fillId="0" borderId="34" xfId="1" applyFont="1" applyFill="1" applyBorder="1"/>
    <xf numFmtId="0" fontId="0" fillId="0" borderId="129" xfId="0" applyBorder="1"/>
    <xf numFmtId="0" fontId="0" fillId="0" borderId="146" xfId="0" applyFont="1" applyBorder="1"/>
    <xf numFmtId="164" fontId="70" fillId="0" borderId="218" xfId="1" applyFont="1" applyFill="1" applyBorder="1"/>
    <xf numFmtId="164" fontId="70" fillId="0" borderId="219" xfId="1" applyFont="1" applyFill="1" applyBorder="1"/>
    <xf numFmtId="164" fontId="55" fillId="0" borderId="110" xfId="1" applyFont="1" applyFill="1" applyBorder="1"/>
    <xf numFmtId="164" fontId="55" fillId="0" borderId="30" xfId="1" applyFont="1" applyFill="1" applyBorder="1"/>
    <xf numFmtId="164" fontId="55" fillId="15" borderId="220" xfId="1" applyFont="1" applyFill="1" applyBorder="1"/>
    <xf numFmtId="164" fontId="55" fillId="15" borderId="110" xfId="1" applyFont="1" applyFill="1" applyBorder="1"/>
    <xf numFmtId="164" fontId="70" fillId="15" borderId="219" xfId="1" applyFont="1" applyFill="1" applyBorder="1"/>
    <xf numFmtId="164" fontId="70" fillId="15" borderId="221" xfId="1" applyFont="1" applyFill="1" applyBorder="1"/>
    <xf numFmtId="39" fontId="73" fillId="25" borderId="222" xfId="0" applyNumberFormat="1" applyFont="1" applyFill="1" applyBorder="1" applyAlignment="1" applyProtection="1">
      <alignment horizontal="left" vertical="center"/>
    </xf>
    <xf numFmtId="0" fontId="5" fillId="25" borderId="226" xfId="0" applyFont="1" applyFill="1" applyBorder="1" applyAlignment="1" applyProtection="1">
      <alignment horizontal="center" vertical="center"/>
    </xf>
    <xf numFmtId="39" fontId="73" fillId="25" borderId="227" xfId="0" applyNumberFormat="1" applyFont="1" applyFill="1" applyBorder="1" applyAlignment="1" applyProtection="1">
      <alignment horizontal="center" vertical="center"/>
    </xf>
    <xf numFmtId="39" fontId="73" fillId="25" borderId="222" xfId="0" applyNumberFormat="1" applyFont="1" applyFill="1" applyBorder="1" applyAlignment="1" applyProtection="1">
      <alignment horizontal="center" vertical="center"/>
    </xf>
    <xf numFmtId="39" fontId="5" fillId="25" borderId="229" xfId="0" quotePrefix="1" applyNumberFormat="1" applyFont="1" applyFill="1" applyBorder="1" applyAlignment="1" applyProtection="1">
      <alignment horizontal="center" vertical="center"/>
    </xf>
    <xf numFmtId="39" fontId="5" fillId="25" borderId="230" xfId="0" quotePrefix="1" applyNumberFormat="1" applyFont="1" applyFill="1" applyBorder="1" applyAlignment="1" applyProtection="1">
      <alignment horizontal="center" vertical="center"/>
    </xf>
    <xf numFmtId="0" fontId="5" fillId="25" borderId="229" xfId="0" applyFont="1" applyFill="1" applyBorder="1" applyAlignment="1" applyProtection="1">
      <alignment horizontal="center" vertical="center"/>
    </xf>
    <xf numFmtId="39" fontId="73" fillId="25" borderId="226" xfId="0" applyNumberFormat="1" applyFont="1" applyFill="1" applyBorder="1" applyAlignment="1" applyProtection="1">
      <alignment horizontal="center" vertical="center"/>
    </xf>
    <xf numFmtId="39" fontId="73" fillId="25" borderId="232" xfId="0" applyNumberFormat="1" applyFont="1" applyFill="1" applyBorder="1" applyAlignment="1" applyProtection="1">
      <alignment horizontal="center" vertical="center"/>
    </xf>
    <xf numFmtId="39" fontId="73" fillId="25" borderId="233" xfId="0" applyNumberFormat="1" applyFont="1" applyFill="1" applyBorder="1" applyAlignment="1" applyProtection="1">
      <alignment horizontal="center" vertical="center"/>
    </xf>
    <xf numFmtId="0" fontId="74" fillId="0" borderId="234" xfId="0" applyFont="1" applyBorder="1" applyAlignment="1">
      <alignment vertical="center"/>
    </xf>
    <xf numFmtId="39" fontId="72" fillId="0" borderId="235" xfId="0" applyNumberFormat="1" applyFont="1" applyBorder="1" applyAlignment="1" applyProtection="1">
      <alignment vertical="center"/>
    </xf>
    <xf numFmtId="166" fontId="72" fillId="0" borderId="236" xfId="2" applyNumberFormat="1" applyFont="1" applyBorder="1" applyAlignment="1" applyProtection="1">
      <alignment vertical="center"/>
    </xf>
    <xf numFmtId="39" fontId="74" fillId="0" borderId="134" xfId="0" applyNumberFormat="1" applyFont="1" applyBorder="1" applyAlignment="1" applyProtection="1">
      <alignment horizontal="right" vertical="center"/>
    </xf>
    <xf numFmtId="169" fontId="76" fillId="0" borderId="0" xfId="4"/>
    <xf numFmtId="169" fontId="77" fillId="0" borderId="0" xfId="4" applyFont="1"/>
    <xf numFmtId="169" fontId="75" fillId="26" borderId="48" xfId="4" applyFont="1" applyFill="1" applyBorder="1" applyAlignment="1">
      <alignment horizontal="center"/>
    </xf>
    <xf numFmtId="49" fontId="75" fillId="26" borderId="20" xfId="4" applyNumberFormat="1" applyFont="1" applyFill="1" applyBorder="1" applyAlignment="1">
      <alignment horizontal="center" vertical="center" wrapText="1"/>
    </xf>
    <xf numFmtId="169" fontId="75" fillId="26" borderId="20" xfId="4" applyFont="1" applyFill="1" applyBorder="1" applyAlignment="1">
      <alignment horizontal="left" vertical="center" wrapText="1"/>
    </xf>
    <xf numFmtId="169" fontId="75" fillId="26" borderId="20" xfId="4" applyFont="1" applyFill="1" applyBorder="1" applyAlignment="1">
      <alignment horizontal="center" vertical="center"/>
    </xf>
    <xf numFmtId="169" fontId="77" fillId="0" borderId="237" xfId="4" applyFont="1" applyFill="1" applyBorder="1" applyProtection="1"/>
    <xf numFmtId="168" fontId="77" fillId="0" borderId="20" xfId="4" applyNumberFormat="1" applyFont="1" applyBorder="1"/>
    <xf numFmtId="164" fontId="0" fillId="0" borderId="12" xfId="0" applyNumberFormat="1" applyFill="1" applyBorder="1"/>
    <xf numFmtId="164" fontId="0" fillId="0" borderId="134" xfId="0" applyNumberFormat="1" applyFill="1" applyBorder="1"/>
    <xf numFmtId="164" fontId="2" fillId="0" borderId="238" xfId="0" applyNumberFormat="1" applyFont="1" applyFill="1" applyBorder="1"/>
    <xf numFmtId="164" fontId="19" fillId="0" borderId="134" xfId="0" applyNumberFormat="1" applyFont="1" applyBorder="1"/>
    <xf numFmtId="9" fontId="0" fillId="6" borderId="239" xfId="2" applyFont="1" applyFill="1" applyBorder="1"/>
    <xf numFmtId="9" fontId="78" fillId="0" borderId="17" xfId="2" applyFont="1" applyBorder="1"/>
    <xf numFmtId="9" fontId="78" fillId="6" borderId="19" xfId="2" applyFont="1" applyFill="1" applyBorder="1"/>
    <xf numFmtId="9" fontId="78" fillId="6" borderId="15" xfId="2" applyFont="1" applyFill="1" applyBorder="1"/>
    <xf numFmtId="9" fontId="78" fillId="6" borderId="18" xfId="2" applyFont="1" applyFill="1" applyBorder="1"/>
    <xf numFmtId="9" fontId="78" fillId="6" borderId="20" xfId="2" applyFont="1" applyFill="1" applyBorder="1"/>
    <xf numFmtId="0" fontId="2" fillId="3" borderId="9" xfId="0" applyFont="1" applyFill="1" applyBorder="1" applyAlignment="1">
      <alignment horizontal="centerContinuous"/>
    </xf>
    <xf numFmtId="0" fontId="2" fillId="4" borderId="240" xfId="0" applyFont="1" applyFill="1" applyBorder="1" applyAlignment="1">
      <alignment horizontal="centerContinuous"/>
    </xf>
    <xf numFmtId="0" fontId="0" fillId="27" borderId="0" xfId="0" applyFill="1"/>
    <xf numFmtId="0" fontId="0" fillId="0" borderId="103" xfId="0" applyFill="1" applyBorder="1"/>
    <xf numFmtId="164" fontId="0" fillId="15" borderId="241" xfId="0" applyNumberFormat="1" applyFill="1" applyBorder="1"/>
    <xf numFmtId="164" fontId="0" fillId="15" borderId="206" xfId="0" applyNumberFormat="1" applyFill="1" applyBorder="1"/>
    <xf numFmtId="164" fontId="0" fillId="15" borderId="242" xfId="0" applyNumberFormat="1" applyFill="1" applyBorder="1"/>
    <xf numFmtId="164" fontId="0" fillId="0" borderId="241" xfId="0" applyNumberFormat="1" applyFill="1" applyBorder="1"/>
    <xf numFmtId="164" fontId="0" fillId="0" borderId="243" xfId="0" applyNumberFormat="1" applyFill="1" applyBorder="1"/>
    <xf numFmtId="164" fontId="10" fillId="0" borderId="244" xfId="0" applyNumberFormat="1" applyFont="1" applyFill="1" applyBorder="1"/>
    <xf numFmtId="164" fontId="0" fillId="0" borderId="101" xfId="0" applyNumberFormat="1" applyFill="1" applyBorder="1"/>
    <xf numFmtId="164" fontId="0" fillId="6" borderId="101" xfId="0" applyNumberFormat="1" applyFill="1" applyBorder="1"/>
    <xf numFmtId="164" fontId="0" fillId="19" borderId="41" xfId="0" applyNumberFormat="1" applyFill="1" applyBorder="1"/>
    <xf numFmtId="164" fontId="0" fillId="19" borderId="42" xfId="0" applyNumberFormat="1" applyFill="1" applyBorder="1"/>
    <xf numFmtId="164" fontId="0" fillId="15" borderId="14" xfId="0" applyNumberFormat="1" applyFill="1" applyBorder="1"/>
    <xf numFmtId="164" fontId="0" fillId="22" borderId="216" xfId="0" applyNumberFormat="1" applyFill="1" applyBorder="1"/>
    <xf numFmtId="9" fontId="2" fillId="0" borderId="0" xfId="2" applyFont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9" fontId="0" fillId="27" borderId="0" xfId="2" applyFont="1" applyFill="1"/>
    <xf numFmtId="0" fontId="2" fillId="27" borderId="0" xfId="0" applyFont="1" applyFill="1" applyAlignment="1">
      <alignment horizontal="center"/>
    </xf>
    <xf numFmtId="0" fontId="2" fillId="27" borderId="0" xfId="0" applyFont="1" applyFill="1" applyAlignment="1">
      <alignment horizontal="center" vertical="center" wrapText="1"/>
    </xf>
    <xf numFmtId="0" fontId="9" fillId="27" borderId="0" xfId="0" applyFont="1" applyFill="1" applyAlignment="1">
      <alignment horizontal="center" vertical="center" wrapText="1"/>
    </xf>
    <xf numFmtId="0" fontId="2" fillId="4" borderId="134" xfId="0" applyFont="1" applyFill="1" applyBorder="1" applyAlignment="1">
      <alignment horizontal="center" vertical="center" wrapText="1"/>
    </xf>
    <xf numFmtId="164" fontId="0" fillId="15" borderId="134" xfId="0" applyNumberFormat="1" applyFill="1" applyBorder="1"/>
    <xf numFmtId="164" fontId="0" fillId="15" borderId="0" xfId="0" applyNumberFormat="1" applyFill="1" applyBorder="1"/>
    <xf numFmtId="164" fontId="0" fillId="0" borderId="238" xfId="0" applyNumberFormat="1" applyFill="1" applyBorder="1"/>
    <xf numFmtId="164" fontId="0" fillId="22" borderId="112" xfId="0" applyNumberFormat="1" applyFill="1" applyBorder="1"/>
    <xf numFmtId="164" fontId="0" fillId="0" borderId="134" xfId="0" applyNumberFormat="1" applyBorder="1"/>
    <xf numFmtId="164" fontId="0" fillId="0" borderId="141" xfId="0" applyNumberFormat="1" applyBorder="1"/>
    <xf numFmtId="164" fontId="0" fillId="0" borderId="238" xfId="0" applyNumberFormat="1" applyBorder="1"/>
    <xf numFmtId="164" fontId="0" fillId="0" borderId="112" xfId="0" applyNumberFormat="1" applyFill="1" applyBorder="1"/>
    <xf numFmtId="166" fontId="0" fillId="0" borderId="239" xfId="2" applyNumberFormat="1" applyFont="1" applyBorder="1" applyAlignment="1">
      <alignment horizontal="center"/>
    </xf>
    <xf numFmtId="0" fontId="9" fillId="13" borderId="34" xfId="0" applyFont="1" applyFill="1" applyBorder="1" applyAlignment="1">
      <alignment horizontal="center" vertical="center" wrapText="1"/>
    </xf>
    <xf numFmtId="164" fontId="17" fillId="0" borderId="112" xfId="0" applyNumberFormat="1" applyFont="1" applyBorder="1"/>
    <xf numFmtId="9" fontId="0" fillId="6" borderId="15" xfId="2" applyFont="1" applyFill="1" applyBorder="1"/>
    <xf numFmtId="164" fontId="0" fillId="0" borderId="141" xfId="0" applyNumberFormat="1" applyFill="1" applyBorder="1"/>
    <xf numFmtId="164" fontId="0" fillId="6" borderId="245" xfId="0" applyNumberFormat="1" applyFill="1" applyBorder="1"/>
    <xf numFmtId="164" fontId="0" fillId="0" borderId="0" xfId="1" applyFont="1" applyAlignment="1">
      <alignment wrapText="1"/>
    </xf>
    <xf numFmtId="9" fontId="0" fillId="0" borderId="0" xfId="1" applyNumberFormat="1" applyFont="1" applyAlignment="1">
      <alignment wrapText="1"/>
    </xf>
    <xf numFmtId="164" fontId="70" fillId="15" borderId="144" xfId="1" applyFont="1" applyFill="1" applyBorder="1"/>
    <xf numFmtId="164" fontId="55" fillId="0" borderId="33" xfId="1" applyFont="1" applyFill="1" applyBorder="1"/>
    <xf numFmtId="9" fontId="0" fillId="27" borderId="0" xfId="2" applyFont="1" applyFill="1" applyAlignment="1">
      <alignment horizontal="center"/>
    </xf>
    <xf numFmtId="9" fontId="0" fillId="27" borderId="0" xfId="2" quotePrefix="1" applyFont="1" applyFill="1" applyAlignment="1">
      <alignment horizontal="center"/>
    </xf>
    <xf numFmtId="0" fontId="2" fillId="4" borderId="46" xfId="0" applyFont="1" applyFill="1" applyBorder="1" applyAlignment="1">
      <alignment horizontal="center" vertical="center" wrapText="1"/>
    </xf>
    <xf numFmtId="164" fontId="0" fillId="6" borderId="247" xfId="0" applyNumberFormat="1" applyFill="1" applyBorder="1"/>
    <xf numFmtId="164" fontId="0" fillId="6" borderId="21" xfId="0" applyNumberFormat="1" applyFill="1" applyBorder="1"/>
    <xf numFmtId="9" fontId="78" fillId="0" borderId="21" xfId="2" applyFont="1" applyBorder="1"/>
    <xf numFmtId="9" fontId="0" fillId="6" borderId="248" xfId="2" applyFont="1" applyFill="1" applyBorder="1"/>
    <xf numFmtId="164" fontId="0" fillId="6" borderId="67" xfId="0" applyNumberFormat="1" applyFill="1" applyBorder="1"/>
    <xf numFmtId="164" fontId="0" fillId="6" borderId="14" xfId="0" applyNumberFormat="1" applyFill="1" applyBorder="1"/>
    <xf numFmtId="9" fontId="0" fillId="0" borderId="40" xfId="2" applyFont="1" applyFill="1" applyBorder="1" applyAlignment="1">
      <alignment horizontal="center"/>
    </xf>
    <xf numFmtId="9" fontId="0" fillId="0" borderId="14" xfId="2" applyFont="1" applyFill="1" applyBorder="1" applyAlignment="1">
      <alignment horizontal="center"/>
    </xf>
    <xf numFmtId="9" fontId="0" fillId="22" borderId="242" xfId="2" applyFont="1" applyFill="1" applyBorder="1" applyAlignment="1">
      <alignment horizontal="center"/>
    </xf>
    <xf numFmtId="9" fontId="0" fillId="0" borderId="40" xfId="2" quotePrefix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0" fontId="38" fillId="0" borderId="0" xfId="0" applyFont="1" applyFill="1" applyAlignment="1">
      <alignment horizontal="center"/>
    </xf>
    <xf numFmtId="0" fontId="54" fillId="0" borderId="0" xfId="0" applyFont="1" applyFill="1"/>
    <xf numFmtId="0" fontId="54" fillId="0" borderId="0" xfId="0" applyFont="1" applyFill="1" applyAlignment="1">
      <alignment horizontal="center"/>
    </xf>
    <xf numFmtId="1" fontId="54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left" vertical="top"/>
    </xf>
    <xf numFmtId="0" fontId="0" fillId="0" borderId="0" xfId="0" applyNumberFormat="1" applyFill="1" applyAlignment="1">
      <alignment horizontal="center"/>
    </xf>
    <xf numFmtId="0" fontId="0" fillId="0" borderId="0" xfId="0" applyFont="1" applyFill="1"/>
    <xf numFmtId="0" fontId="4" fillId="0" borderId="0" xfId="0" applyFont="1" applyFill="1" applyAlignment="1">
      <alignment horizontal="left"/>
    </xf>
    <xf numFmtId="9" fontId="0" fillId="0" borderId="0" xfId="2" applyFont="1" applyBorder="1"/>
    <xf numFmtId="0" fontId="9" fillId="4" borderId="26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71" fillId="0" borderId="0" xfId="0" applyFont="1" applyAlignment="1">
      <alignment vertical="center"/>
    </xf>
    <xf numFmtId="164" fontId="0" fillId="0" borderId="16" xfId="1" applyFont="1" applyFill="1" applyBorder="1"/>
    <xf numFmtId="164" fontId="0" fillId="0" borderId="89" xfId="1" applyFont="1" applyFill="1" applyBorder="1"/>
    <xf numFmtId="164" fontId="2" fillId="0" borderId="57" xfId="1" applyFont="1" applyFill="1" applyBorder="1"/>
    <xf numFmtId="164" fontId="9" fillId="4" borderId="250" xfId="1" applyFont="1" applyFill="1" applyBorder="1"/>
    <xf numFmtId="164" fontId="2" fillId="0" borderId="251" xfId="1" applyFont="1" applyFill="1" applyBorder="1"/>
    <xf numFmtId="164" fontId="0" fillId="0" borderId="206" xfId="1" applyFont="1" applyFill="1" applyBorder="1"/>
    <xf numFmtId="164" fontId="70" fillId="0" borderId="145" xfId="1" applyFont="1" applyFill="1" applyBorder="1"/>
    <xf numFmtId="164" fontId="55" fillId="15" borderId="26" xfId="1" applyFont="1" applyFill="1" applyBorder="1"/>
    <xf numFmtId="164" fontId="2" fillId="0" borderId="251" xfId="1" applyFont="1" applyBorder="1"/>
    <xf numFmtId="166" fontId="0" fillId="0" borderId="214" xfId="2" applyNumberFormat="1" applyFont="1" applyBorder="1" applyAlignment="1">
      <alignment horizontal="center"/>
    </xf>
    <xf numFmtId="166" fontId="0" fillId="0" borderId="96" xfId="2" applyNumberFormat="1" applyFont="1" applyBorder="1" applyAlignment="1">
      <alignment horizontal="center"/>
    </xf>
    <xf numFmtId="0" fontId="9" fillId="4" borderId="255" xfId="0" applyFont="1" applyFill="1" applyBorder="1" applyAlignment="1">
      <alignment horizontal="center" vertical="center" wrapText="1"/>
    </xf>
    <xf numFmtId="164" fontId="0" fillId="0" borderId="256" xfId="1" applyFont="1" applyBorder="1"/>
    <xf numFmtId="164" fontId="0" fillId="0" borderId="257" xfId="1" applyFont="1" applyFill="1" applyBorder="1"/>
    <xf numFmtId="164" fontId="0" fillId="0" borderId="258" xfId="1" applyFont="1" applyFill="1" applyBorder="1"/>
    <xf numFmtId="164" fontId="2" fillId="0" borderId="259" xfId="1" applyFont="1" applyFill="1" applyBorder="1"/>
    <xf numFmtId="164" fontId="0" fillId="0" borderId="256" xfId="1" applyFont="1" applyFill="1" applyBorder="1"/>
    <xf numFmtId="164" fontId="9" fillId="4" borderId="260" xfId="1" applyFont="1" applyFill="1" applyBorder="1"/>
    <xf numFmtId="164" fontId="2" fillId="0" borderId="261" xfId="1" applyFont="1" applyFill="1" applyBorder="1"/>
    <xf numFmtId="164" fontId="0" fillId="0" borderId="262" xfId="1" applyFont="1" applyFill="1" applyBorder="1"/>
    <xf numFmtId="164" fontId="70" fillId="0" borderId="263" xfId="1" applyFont="1" applyFill="1" applyBorder="1"/>
    <xf numFmtId="164" fontId="55" fillId="15" borderId="255" xfId="1" applyFont="1" applyFill="1" applyBorder="1"/>
    <xf numFmtId="164" fontId="0" fillId="0" borderId="254" xfId="1" applyFont="1" applyFill="1" applyBorder="1"/>
    <xf numFmtId="164" fontId="2" fillId="0" borderId="261" xfId="1" applyFont="1" applyBorder="1"/>
    <xf numFmtId="166" fontId="0" fillId="0" borderId="264" xfId="2" applyNumberFormat="1" applyFont="1" applyBorder="1" applyAlignment="1">
      <alignment horizontal="center"/>
    </xf>
    <xf numFmtId="166" fontId="0" fillId="0" borderId="265" xfId="2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166" fontId="0" fillId="16" borderId="0" xfId="2" applyNumberFormat="1" applyFont="1" applyFill="1" applyAlignment="1">
      <alignment horizontal="center"/>
    </xf>
    <xf numFmtId="0" fontId="0" fillId="16" borderId="0" xfId="0" applyNumberFormat="1" applyFill="1" applyAlignment="1">
      <alignment horizontal="center"/>
    </xf>
    <xf numFmtId="0" fontId="2" fillId="16" borderId="99" xfId="0" applyFont="1" applyFill="1" applyBorder="1" applyAlignment="1">
      <alignment horizontal="center" vertical="top"/>
    </xf>
    <xf numFmtId="0" fontId="2" fillId="16" borderId="99" xfId="0" applyFont="1" applyFill="1" applyBorder="1" applyAlignment="1">
      <alignment horizontal="center" vertical="center"/>
    </xf>
    <xf numFmtId="0" fontId="2" fillId="16" borderId="99" xfId="0" applyFont="1" applyFill="1" applyBorder="1" applyAlignment="1">
      <alignment horizontal="center"/>
    </xf>
    <xf numFmtId="0" fontId="9" fillId="16" borderId="99" xfId="0" applyFont="1" applyFill="1" applyBorder="1" applyAlignment="1">
      <alignment horizontal="center" vertical="center" wrapText="1"/>
    </xf>
    <xf numFmtId="164" fontId="2" fillId="16" borderId="62" xfId="0" applyNumberFormat="1" applyFont="1" applyFill="1" applyBorder="1" applyAlignment="1">
      <alignment horizontal="center" vertical="center"/>
    </xf>
    <xf numFmtId="164" fontId="17" fillId="16" borderId="99" xfId="0" applyNumberFormat="1" applyFont="1" applyFill="1" applyBorder="1"/>
    <xf numFmtId="164" fontId="19" fillId="16" borderId="99" xfId="0" applyNumberFormat="1" applyFont="1" applyFill="1" applyBorder="1"/>
    <xf numFmtId="9" fontId="0" fillId="16" borderId="99" xfId="2" applyFont="1" applyFill="1" applyBorder="1"/>
    <xf numFmtId="0" fontId="2" fillId="16" borderId="0" xfId="0" applyNumberFormat="1" applyFont="1" applyFill="1" applyAlignment="1">
      <alignment horizontal="center"/>
    </xf>
    <xf numFmtId="0" fontId="2" fillId="16" borderId="0" xfId="0" applyNumberFormat="1" applyFont="1" applyFill="1" applyAlignment="1">
      <alignment horizontal="center" vertical="center" wrapText="1"/>
    </xf>
    <xf numFmtId="0" fontId="9" fillId="16" borderId="0" xfId="0" applyNumberFormat="1" applyFont="1" applyFill="1" applyAlignment="1">
      <alignment horizontal="center" vertical="center" wrapText="1"/>
    </xf>
    <xf numFmtId="0" fontId="2" fillId="16" borderId="0" xfId="0" applyFont="1" applyFill="1" applyAlignment="1">
      <alignment horizontal="center"/>
    </xf>
    <xf numFmtId="0" fontId="2" fillId="16" borderId="0" xfId="0" applyFont="1" applyFill="1" applyAlignment="1">
      <alignment horizontal="center" vertical="center" wrapText="1"/>
    </xf>
    <xf numFmtId="0" fontId="9" fillId="16" borderId="0" xfId="0" applyFont="1" applyFill="1" applyAlignment="1">
      <alignment horizontal="center" vertical="center" wrapText="1"/>
    </xf>
    <xf numFmtId="164" fontId="0" fillId="16" borderId="0" xfId="0" applyNumberFormat="1" applyFill="1" applyBorder="1"/>
    <xf numFmtId="0" fontId="2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10" fillId="16" borderId="0" xfId="0" applyFont="1" applyFill="1" applyAlignment="1">
      <alignment horizontal="left" vertical="top"/>
    </xf>
    <xf numFmtId="0" fontId="10" fillId="16" borderId="0" xfId="0" applyFont="1" applyFill="1" applyAlignment="1">
      <alignment horizontal="left" vertical="top" wrapText="1"/>
    </xf>
    <xf numFmtId="165" fontId="9" fillId="16" borderId="99" xfId="0" quotePrefix="1" applyNumberFormat="1" applyFont="1" applyFill="1" applyBorder="1" applyAlignment="1">
      <alignment horizontal="center"/>
    </xf>
    <xf numFmtId="165" fontId="9" fillId="16" borderId="99" xfId="1" quotePrefix="1" applyNumberFormat="1" applyFont="1" applyFill="1" applyBorder="1" applyAlignment="1">
      <alignment horizontal="center"/>
    </xf>
    <xf numFmtId="0" fontId="2" fillId="24" borderId="0" xfId="0" applyFont="1" applyFill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4" borderId="177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80" xfId="0" applyFont="1" applyFill="1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11" xfId="0" applyFont="1" applyFill="1" applyBorder="1" applyAlignment="1">
      <alignment horizontal="left" vertical="center" wrapText="1" indent="1"/>
    </xf>
    <xf numFmtId="0" fontId="6" fillId="4" borderId="12" xfId="0" applyFont="1" applyFill="1" applyBorder="1" applyAlignment="1">
      <alignment horizontal="left" vertical="center" wrapText="1" indent="1"/>
    </xf>
    <xf numFmtId="0" fontId="6" fillId="4" borderId="13" xfId="0" applyFont="1" applyFill="1" applyBorder="1" applyAlignment="1">
      <alignment horizontal="left" vertical="center" wrapText="1" inden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16" borderId="203" xfId="0" applyFont="1" applyFill="1" applyBorder="1" applyAlignment="1">
      <alignment horizontal="center" vertical="center" wrapText="1"/>
    </xf>
    <xf numFmtId="0" fontId="2" fillId="16" borderId="204" xfId="0" applyFont="1" applyFill="1" applyBorder="1" applyAlignment="1">
      <alignment horizontal="center" vertical="center" wrapText="1"/>
    </xf>
    <xf numFmtId="0" fontId="2" fillId="16" borderId="87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2" fillId="4" borderId="104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87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46" xfId="0" applyFont="1" applyFill="1" applyBorder="1" applyAlignment="1">
      <alignment horizontal="center"/>
    </xf>
    <xf numFmtId="0" fontId="2" fillId="4" borderId="24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11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top" wrapText="1"/>
    </xf>
    <xf numFmtId="0" fontId="2" fillId="0" borderId="100" xfId="0" applyFont="1" applyBorder="1" applyAlignment="1">
      <alignment horizontal="center" vertical="center" textRotation="90" wrapText="1"/>
    </xf>
    <xf numFmtId="0" fontId="2" fillId="0" borderId="101" xfId="0" applyFont="1" applyBorder="1" applyAlignment="1">
      <alignment horizontal="center" vertical="center" textRotation="90" wrapText="1"/>
    </xf>
    <xf numFmtId="0" fontId="2" fillId="16" borderId="200" xfId="0" applyFont="1" applyFill="1" applyBorder="1" applyAlignment="1">
      <alignment horizontal="center" vertical="center"/>
    </xf>
    <xf numFmtId="0" fontId="2" fillId="16" borderId="201" xfId="0" applyFont="1" applyFill="1" applyBorder="1" applyAlignment="1">
      <alignment horizontal="center" vertical="center"/>
    </xf>
    <xf numFmtId="0" fontId="2" fillId="16" borderId="202" xfId="0" applyFont="1" applyFill="1" applyBorder="1" applyAlignment="1">
      <alignment horizontal="center" vertical="center"/>
    </xf>
    <xf numFmtId="0" fontId="2" fillId="4" borderId="107" xfId="0" applyFont="1" applyFill="1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2" fillId="4" borderId="89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4" borderId="108" xfId="0" applyFont="1" applyFill="1" applyBorder="1" applyAlignment="1">
      <alignment horizontal="center" vertical="center" wrapText="1"/>
    </xf>
    <xf numFmtId="0" fontId="2" fillId="4" borderId="109" xfId="0" applyFont="1" applyFill="1" applyBorder="1" applyAlignment="1">
      <alignment horizontal="center" vertical="center" wrapText="1"/>
    </xf>
    <xf numFmtId="0" fontId="2" fillId="3" borderId="107" xfId="0" applyFont="1" applyFill="1" applyBorder="1" applyAlignment="1">
      <alignment horizontal="center" vertical="center" wrapText="1"/>
    </xf>
    <xf numFmtId="0" fontId="2" fillId="3" borderId="108" xfId="0" applyFont="1" applyFill="1" applyBorder="1" applyAlignment="1">
      <alignment horizontal="center" vertical="center" wrapText="1"/>
    </xf>
    <xf numFmtId="0" fontId="2" fillId="3" borderId="109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textRotation="90" wrapText="1"/>
    </xf>
    <xf numFmtId="2" fontId="2" fillId="0" borderId="100" xfId="0" applyNumberFormat="1" applyFont="1" applyBorder="1" applyAlignment="1">
      <alignment horizontal="center" vertical="center" textRotation="90" wrapText="1"/>
    </xf>
    <xf numFmtId="2" fontId="2" fillId="0" borderId="101" xfId="0" applyNumberFormat="1" applyFont="1" applyBorder="1" applyAlignment="1">
      <alignment horizontal="center" vertical="center" textRotation="90" wrapText="1"/>
    </xf>
    <xf numFmtId="2" fontId="2" fillId="0" borderId="117" xfId="0" applyNumberFormat="1" applyFont="1" applyBorder="1" applyAlignment="1">
      <alignment horizontal="center" vertical="center" textRotation="90" wrapText="1"/>
    </xf>
    <xf numFmtId="2" fontId="2" fillId="0" borderId="65" xfId="0" applyNumberFormat="1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74" xfId="0" applyFont="1" applyBorder="1" applyAlignment="1">
      <alignment horizontal="center" vertical="center" textRotation="90" wrapText="1"/>
    </xf>
    <xf numFmtId="0" fontId="71" fillId="0" borderId="0" xfId="0" applyFont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2" fillId="4" borderId="179" xfId="0" applyFont="1" applyFill="1" applyBorder="1" applyAlignment="1">
      <alignment horizontal="center" vertical="center" wrapText="1"/>
    </xf>
    <xf numFmtId="0" fontId="2" fillId="3" borderId="199" xfId="0" applyFont="1" applyFill="1" applyBorder="1" applyAlignment="1">
      <alignment horizontal="center"/>
    </xf>
    <xf numFmtId="0" fontId="2" fillId="4" borderId="199" xfId="0" applyFont="1" applyFill="1" applyBorder="1" applyAlignment="1">
      <alignment horizontal="center"/>
    </xf>
    <xf numFmtId="0" fontId="2" fillId="4" borderId="253" xfId="0" applyFont="1" applyFill="1" applyBorder="1" applyAlignment="1">
      <alignment horizontal="center" vertical="center" wrapText="1"/>
    </xf>
    <xf numFmtId="0" fontId="2" fillId="4" borderId="25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52" xfId="0" applyFont="1" applyFill="1" applyBorder="1" applyAlignment="1">
      <alignment horizontal="center"/>
    </xf>
    <xf numFmtId="39" fontId="73" fillId="25" borderId="223" xfId="0" applyNumberFormat="1" applyFont="1" applyFill="1" applyBorder="1" applyAlignment="1" applyProtection="1">
      <alignment horizontal="center" vertical="center"/>
    </xf>
    <xf numFmtId="39" fontId="73" fillId="25" borderId="224" xfId="0" applyNumberFormat="1" applyFont="1" applyFill="1" applyBorder="1" applyAlignment="1" applyProtection="1">
      <alignment horizontal="center" vertical="center"/>
    </xf>
    <xf numFmtId="166" fontId="73" fillId="25" borderId="225" xfId="0" applyNumberFormat="1" applyFont="1" applyFill="1" applyBorder="1" applyAlignment="1" applyProtection="1">
      <alignment horizontal="center" vertical="center" wrapText="1"/>
    </xf>
    <xf numFmtId="166" fontId="73" fillId="25" borderId="228" xfId="0" applyNumberFormat="1" applyFont="1" applyFill="1" applyBorder="1" applyAlignment="1" applyProtection="1">
      <alignment horizontal="center" vertical="center" wrapText="1"/>
    </xf>
    <xf numFmtId="166" fontId="73" fillId="25" borderId="231" xfId="0" applyNumberFormat="1" applyFont="1" applyFill="1" applyBorder="1" applyAlignment="1" applyProtection="1">
      <alignment horizontal="center" vertical="center" wrapText="1"/>
    </xf>
    <xf numFmtId="164" fontId="75" fillId="26" borderId="16" xfId="1" applyFont="1" applyFill="1" applyBorder="1" applyAlignment="1">
      <alignment horizontal="center"/>
    </xf>
    <xf numFmtId="164" fontId="75" fillId="26" borderId="134" xfId="1" applyFont="1" applyFill="1" applyBorder="1" applyAlignment="1">
      <alignment horizontal="center"/>
    </xf>
    <xf numFmtId="164" fontId="75" fillId="26" borderId="15" xfId="1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2" fillId="11" borderId="16" xfId="0" applyFont="1" applyFill="1" applyBorder="1" applyAlignment="1">
      <alignment horizontal="center"/>
    </xf>
    <xf numFmtId="0" fontId="0" fillId="11" borderId="134" xfId="0" applyFill="1" applyBorder="1"/>
    <xf numFmtId="0" fontId="0" fillId="11" borderId="15" xfId="0" applyFill="1" applyBorder="1"/>
    <xf numFmtId="0" fontId="22" fillId="11" borderId="135" xfId="0" applyFont="1" applyFill="1" applyBorder="1" applyAlignment="1">
      <alignment horizontal="center"/>
    </xf>
    <xf numFmtId="0" fontId="22" fillId="11" borderId="134" xfId="0" applyFont="1" applyFill="1" applyBorder="1" applyAlignment="1">
      <alignment horizontal="center"/>
    </xf>
    <xf numFmtId="0" fontId="22" fillId="11" borderId="136" xfId="0" applyFont="1" applyFill="1" applyBorder="1" applyAlignment="1">
      <alignment horizontal="center"/>
    </xf>
    <xf numFmtId="0" fontId="22" fillId="11" borderId="15" xfId="0" applyFont="1" applyFill="1" applyBorder="1" applyAlignment="1">
      <alignment horizontal="center"/>
    </xf>
    <xf numFmtId="0" fontId="22" fillId="11" borderId="20" xfId="0" applyFont="1" applyFill="1" applyBorder="1" applyAlignment="1">
      <alignment horizontal="center"/>
    </xf>
    <xf numFmtId="0" fontId="22" fillId="11" borderId="157" xfId="0" applyFont="1" applyFill="1" applyBorder="1" applyAlignment="1">
      <alignment horizontal="center"/>
    </xf>
    <xf numFmtId="0" fontId="0" fillId="11" borderId="9" xfId="0" applyFill="1" applyBorder="1"/>
    <xf numFmtId="0" fontId="0" fillId="11" borderId="5" xfId="0" applyFill="1" applyBorder="1"/>
    <xf numFmtId="0" fontId="22" fillId="11" borderId="159" xfId="0" applyFont="1" applyFill="1" applyBorder="1" applyAlignment="1">
      <alignment horizontal="center"/>
    </xf>
    <xf numFmtId="0" fontId="22" fillId="11" borderId="9" xfId="0" applyFont="1" applyFill="1" applyBorder="1" applyAlignment="1">
      <alignment horizontal="center"/>
    </xf>
    <xf numFmtId="0" fontId="22" fillId="11" borderId="160" xfId="0" applyFont="1" applyFill="1" applyBorder="1" applyAlignment="1">
      <alignment horizontal="center"/>
    </xf>
    <xf numFmtId="0" fontId="22" fillId="11" borderId="5" xfId="0" applyFont="1" applyFill="1" applyBorder="1" applyAlignment="1">
      <alignment horizontal="center"/>
    </xf>
    <xf numFmtId="0" fontId="22" fillId="11" borderId="8" xfId="0" applyFont="1" applyFill="1" applyBorder="1" applyAlignment="1">
      <alignment horizontal="center"/>
    </xf>
    <xf numFmtId="1" fontId="22" fillId="11" borderId="189" xfId="0" applyNumberFormat="1" applyFont="1" applyFill="1" applyBorder="1" applyAlignment="1">
      <alignment horizontal="center" vertical="center" wrapText="1"/>
    </xf>
    <xf numFmtId="1" fontId="22" fillId="11" borderId="8" xfId="0" applyNumberFormat="1" applyFont="1" applyFill="1" applyBorder="1" applyAlignment="1">
      <alignment horizontal="center" vertical="center" wrapText="1"/>
    </xf>
    <xf numFmtId="1" fontId="22" fillId="11" borderId="16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11" borderId="188" xfId="0" applyFont="1" applyFill="1" applyBorder="1" applyAlignment="1">
      <alignment horizontal="center" vertical="center" textRotation="90" wrapText="1"/>
    </xf>
    <xf numFmtId="0" fontId="22" fillId="11" borderId="186" xfId="0" applyFont="1" applyFill="1" applyBorder="1" applyAlignment="1">
      <alignment horizontal="center" vertical="center" textRotation="90" wrapText="1"/>
    </xf>
    <xf numFmtId="0" fontId="66" fillId="0" borderId="0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4"/>
    <cellStyle name="Normal 3" xfId="3"/>
    <cellStyle name="Percent" xfId="2" builtinId="5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P/Documents/Parish%20Council/0%200%2000%20Helmingham%20PC/Helmingham%20PC%20Vol%202/Accounts/Budgets/Budget%202013-14/Copy%20of%20Helm'ham%20Budget%2011-12%20version%20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Reformatting"/>
      <sheetName val="Budget 2011-12 Draft 1"/>
      <sheetName val="Election Cost Estimates"/>
      <sheetName val="Helmingham Ac'nts 2010-11 @Nov"/>
      <sheetName val="Helmingham Ac'nts 2009-10 audit"/>
      <sheetName val="Helmingham Cashbook 2009-10"/>
      <sheetName val="Helmingham Cashbook 2008-9"/>
      <sheetName val="Sheet4"/>
      <sheetName val="Budget 2009-10"/>
      <sheetName val="Budget 2008-9"/>
      <sheetName val=" SaxteadAudit Sheet 2007-8"/>
      <sheetName val="Saxtead Audit Sheet 2008-9"/>
      <sheetName val="Clerk Hours &amp; Expenses"/>
      <sheetName val="Cashbook 2009-10 at 20 Nov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5">
          <cell r="E15">
            <v>0</v>
          </cell>
          <cell r="I15">
            <v>0</v>
          </cell>
        </row>
        <row r="21">
          <cell r="E2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E121"/>
  <sheetViews>
    <sheetView showGridLines="0" tabSelected="1" topLeftCell="T75" workbookViewId="0">
      <selection activeCell="Y27" sqref="B1:Z27"/>
    </sheetView>
  </sheetViews>
  <sheetFormatPr baseColWidth="10" defaultColWidth="8.83203125" defaultRowHeight="15" x14ac:dyDescent="0.2"/>
  <cols>
    <col min="1" max="1" width="1" customWidth="1"/>
    <col min="2" max="2" width="7.1640625" style="1" customWidth="1"/>
    <col min="3" max="3" width="5.5" style="1" customWidth="1"/>
    <col min="4" max="4" width="27" customWidth="1"/>
    <col min="5" max="6" width="10.6640625" style="628" hidden="1" customWidth="1"/>
    <col min="7" max="13" width="10.6640625" hidden="1" customWidth="1"/>
    <col min="14" max="21" width="10.6640625" customWidth="1"/>
    <col min="22" max="22" width="10.6640625" hidden="1" customWidth="1"/>
    <col min="23" max="23" width="10.6640625" customWidth="1"/>
    <col min="24" max="24" width="9.1640625" customWidth="1"/>
    <col min="25" max="25" width="23.5" style="628" customWidth="1"/>
    <col min="26" max="26" width="0.83203125" customWidth="1"/>
    <col min="27" max="27" width="6.5" style="3" hidden="1" customWidth="1"/>
    <col min="28" max="29" width="8.33203125" hidden="1" customWidth="1"/>
    <col min="30" max="30" width="10.5" hidden="1" customWidth="1"/>
    <col min="31" max="35" width="9.1640625" style="473" hidden="1" customWidth="1"/>
    <col min="36" max="37" width="9.1640625" style="4" hidden="1" customWidth="1"/>
    <col min="38" max="38" width="12.1640625" style="4" hidden="1" customWidth="1"/>
    <col min="39" max="39" width="10.83203125" hidden="1" customWidth="1"/>
    <col min="40" max="40" width="10.33203125" hidden="1" customWidth="1"/>
    <col min="41" max="41" width="14" hidden="1" customWidth="1"/>
    <col min="42" max="44" width="9.1640625" hidden="1" customWidth="1"/>
    <col min="45" max="45" width="10.5" hidden="1" customWidth="1"/>
    <col min="46" max="46" width="9.1640625" hidden="1" customWidth="1"/>
    <col min="47" max="47" width="0" hidden="1" customWidth="1"/>
    <col min="48" max="55" width="10.6640625" hidden="1" customWidth="1"/>
    <col min="56" max="61" width="0" hidden="1" customWidth="1"/>
    <col min="268" max="268" width="1" customWidth="1"/>
    <col min="269" max="269" width="7.1640625" customWidth="1"/>
    <col min="270" max="270" width="5.5" customWidth="1"/>
    <col min="271" max="271" width="25.5" customWidth="1"/>
    <col min="272" max="285" width="10" customWidth="1"/>
    <col min="286" max="286" width="0" hidden="1" customWidth="1"/>
    <col min="287" max="287" width="10" customWidth="1"/>
    <col min="288" max="288" width="6.5" customWidth="1"/>
    <col min="289" max="289" width="0.83203125" customWidth="1"/>
    <col min="290" max="290" width="0.6640625" customWidth="1"/>
    <col min="291" max="295" width="9.1640625" customWidth="1"/>
    <col min="296" max="296" width="1.5" customWidth="1"/>
    <col min="297" max="297" width="14" bestFit="1" customWidth="1"/>
    <col min="524" max="524" width="1" customWidth="1"/>
    <col min="525" max="525" width="7.1640625" customWidth="1"/>
    <col min="526" max="526" width="5.5" customWidth="1"/>
    <col min="527" max="527" width="25.5" customWidth="1"/>
    <col min="528" max="541" width="10" customWidth="1"/>
    <col min="542" max="542" width="0" hidden="1" customWidth="1"/>
    <col min="543" max="543" width="10" customWidth="1"/>
    <col min="544" max="544" width="6.5" customWidth="1"/>
    <col min="545" max="545" width="0.83203125" customWidth="1"/>
    <col min="546" max="546" width="0.6640625" customWidth="1"/>
    <col min="547" max="551" width="9.1640625" customWidth="1"/>
    <col min="552" max="552" width="1.5" customWidth="1"/>
    <col min="553" max="553" width="14" bestFit="1" customWidth="1"/>
    <col min="780" max="780" width="1" customWidth="1"/>
    <col min="781" max="781" width="7.1640625" customWidth="1"/>
    <col min="782" max="782" width="5.5" customWidth="1"/>
    <col min="783" max="783" width="25.5" customWidth="1"/>
    <col min="784" max="797" width="10" customWidth="1"/>
    <col min="798" max="798" width="0" hidden="1" customWidth="1"/>
    <col min="799" max="799" width="10" customWidth="1"/>
    <col min="800" max="800" width="6.5" customWidth="1"/>
    <col min="801" max="801" width="0.83203125" customWidth="1"/>
    <col min="802" max="802" width="0.6640625" customWidth="1"/>
    <col min="803" max="807" width="9.1640625" customWidth="1"/>
    <col min="808" max="808" width="1.5" customWidth="1"/>
    <col min="809" max="809" width="14" bestFit="1" customWidth="1"/>
    <col min="1036" max="1036" width="1" customWidth="1"/>
    <col min="1037" max="1037" width="7.1640625" customWidth="1"/>
    <col min="1038" max="1038" width="5.5" customWidth="1"/>
    <col min="1039" max="1039" width="25.5" customWidth="1"/>
    <col min="1040" max="1053" width="10" customWidth="1"/>
    <col min="1054" max="1054" width="0" hidden="1" customWidth="1"/>
    <col min="1055" max="1055" width="10" customWidth="1"/>
    <col min="1056" max="1056" width="6.5" customWidth="1"/>
    <col min="1057" max="1057" width="0.83203125" customWidth="1"/>
    <col min="1058" max="1058" width="0.6640625" customWidth="1"/>
    <col min="1059" max="1063" width="9.1640625" customWidth="1"/>
    <col min="1064" max="1064" width="1.5" customWidth="1"/>
    <col min="1065" max="1065" width="14" bestFit="1" customWidth="1"/>
    <col min="1292" max="1292" width="1" customWidth="1"/>
    <col min="1293" max="1293" width="7.1640625" customWidth="1"/>
    <col min="1294" max="1294" width="5.5" customWidth="1"/>
    <col min="1295" max="1295" width="25.5" customWidth="1"/>
    <col min="1296" max="1309" width="10" customWidth="1"/>
    <col min="1310" max="1310" width="0" hidden="1" customWidth="1"/>
    <col min="1311" max="1311" width="10" customWidth="1"/>
    <col min="1312" max="1312" width="6.5" customWidth="1"/>
    <col min="1313" max="1313" width="0.83203125" customWidth="1"/>
    <col min="1314" max="1314" width="0.6640625" customWidth="1"/>
    <col min="1315" max="1319" width="9.1640625" customWidth="1"/>
    <col min="1320" max="1320" width="1.5" customWidth="1"/>
    <col min="1321" max="1321" width="14" bestFit="1" customWidth="1"/>
    <col min="1548" max="1548" width="1" customWidth="1"/>
    <col min="1549" max="1549" width="7.1640625" customWidth="1"/>
    <col min="1550" max="1550" width="5.5" customWidth="1"/>
    <col min="1551" max="1551" width="25.5" customWidth="1"/>
    <col min="1552" max="1565" width="10" customWidth="1"/>
    <col min="1566" max="1566" width="0" hidden="1" customWidth="1"/>
    <col min="1567" max="1567" width="10" customWidth="1"/>
    <col min="1568" max="1568" width="6.5" customWidth="1"/>
    <col min="1569" max="1569" width="0.83203125" customWidth="1"/>
    <col min="1570" max="1570" width="0.6640625" customWidth="1"/>
    <col min="1571" max="1575" width="9.1640625" customWidth="1"/>
    <col min="1576" max="1576" width="1.5" customWidth="1"/>
    <col min="1577" max="1577" width="14" bestFit="1" customWidth="1"/>
    <col min="1804" max="1804" width="1" customWidth="1"/>
    <col min="1805" max="1805" width="7.1640625" customWidth="1"/>
    <col min="1806" max="1806" width="5.5" customWidth="1"/>
    <col min="1807" max="1807" width="25.5" customWidth="1"/>
    <col min="1808" max="1821" width="10" customWidth="1"/>
    <col min="1822" max="1822" width="0" hidden="1" customWidth="1"/>
    <col min="1823" max="1823" width="10" customWidth="1"/>
    <col min="1824" max="1824" width="6.5" customWidth="1"/>
    <col min="1825" max="1825" width="0.83203125" customWidth="1"/>
    <col min="1826" max="1826" width="0.6640625" customWidth="1"/>
    <col min="1827" max="1831" width="9.1640625" customWidth="1"/>
    <col min="1832" max="1832" width="1.5" customWidth="1"/>
    <col min="1833" max="1833" width="14" bestFit="1" customWidth="1"/>
    <col min="2060" max="2060" width="1" customWidth="1"/>
    <col min="2061" max="2061" width="7.1640625" customWidth="1"/>
    <col min="2062" max="2062" width="5.5" customWidth="1"/>
    <col min="2063" max="2063" width="25.5" customWidth="1"/>
    <col min="2064" max="2077" width="10" customWidth="1"/>
    <col min="2078" max="2078" width="0" hidden="1" customWidth="1"/>
    <col min="2079" max="2079" width="10" customWidth="1"/>
    <col min="2080" max="2080" width="6.5" customWidth="1"/>
    <col min="2081" max="2081" width="0.83203125" customWidth="1"/>
    <col min="2082" max="2082" width="0.6640625" customWidth="1"/>
    <col min="2083" max="2087" width="9.1640625" customWidth="1"/>
    <col min="2088" max="2088" width="1.5" customWidth="1"/>
    <col min="2089" max="2089" width="14" bestFit="1" customWidth="1"/>
    <col min="2316" max="2316" width="1" customWidth="1"/>
    <col min="2317" max="2317" width="7.1640625" customWidth="1"/>
    <col min="2318" max="2318" width="5.5" customWidth="1"/>
    <col min="2319" max="2319" width="25.5" customWidth="1"/>
    <col min="2320" max="2333" width="10" customWidth="1"/>
    <col min="2334" max="2334" width="0" hidden="1" customWidth="1"/>
    <col min="2335" max="2335" width="10" customWidth="1"/>
    <col min="2336" max="2336" width="6.5" customWidth="1"/>
    <col min="2337" max="2337" width="0.83203125" customWidth="1"/>
    <col min="2338" max="2338" width="0.6640625" customWidth="1"/>
    <col min="2339" max="2343" width="9.1640625" customWidth="1"/>
    <col min="2344" max="2344" width="1.5" customWidth="1"/>
    <col min="2345" max="2345" width="14" bestFit="1" customWidth="1"/>
    <col min="2572" max="2572" width="1" customWidth="1"/>
    <col min="2573" max="2573" width="7.1640625" customWidth="1"/>
    <col min="2574" max="2574" width="5.5" customWidth="1"/>
    <col min="2575" max="2575" width="25.5" customWidth="1"/>
    <col min="2576" max="2589" width="10" customWidth="1"/>
    <col min="2590" max="2590" width="0" hidden="1" customWidth="1"/>
    <col min="2591" max="2591" width="10" customWidth="1"/>
    <col min="2592" max="2592" width="6.5" customWidth="1"/>
    <col min="2593" max="2593" width="0.83203125" customWidth="1"/>
    <col min="2594" max="2594" width="0.6640625" customWidth="1"/>
    <col min="2595" max="2599" width="9.1640625" customWidth="1"/>
    <col min="2600" max="2600" width="1.5" customWidth="1"/>
    <col min="2601" max="2601" width="14" bestFit="1" customWidth="1"/>
    <col min="2828" max="2828" width="1" customWidth="1"/>
    <col min="2829" max="2829" width="7.1640625" customWidth="1"/>
    <col min="2830" max="2830" width="5.5" customWidth="1"/>
    <col min="2831" max="2831" width="25.5" customWidth="1"/>
    <col min="2832" max="2845" width="10" customWidth="1"/>
    <col min="2846" max="2846" width="0" hidden="1" customWidth="1"/>
    <col min="2847" max="2847" width="10" customWidth="1"/>
    <col min="2848" max="2848" width="6.5" customWidth="1"/>
    <col min="2849" max="2849" width="0.83203125" customWidth="1"/>
    <col min="2850" max="2850" width="0.6640625" customWidth="1"/>
    <col min="2851" max="2855" width="9.1640625" customWidth="1"/>
    <col min="2856" max="2856" width="1.5" customWidth="1"/>
    <col min="2857" max="2857" width="14" bestFit="1" customWidth="1"/>
    <col min="3084" max="3084" width="1" customWidth="1"/>
    <col min="3085" max="3085" width="7.1640625" customWidth="1"/>
    <col min="3086" max="3086" width="5.5" customWidth="1"/>
    <col min="3087" max="3087" width="25.5" customWidth="1"/>
    <col min="3088" max="3101" width="10" customWidth="1"/>
    <col min="3102" max="3102" width="0" hidden="1" customWidth="1"/>
    <col min="3103" max="3103" width="10" customWidth="1"/>
    <col min="3104" max="3104" width="6.5" customWidth="1"/>
    <col min="3105" max="3105" width="0.83203125" customWidth="1"/>
    <col min="3106" max="3106" width="0.6640625" customWidth="1"/>
    <col min="3107" max="3111" width="9.1640625" customWidth="1"/>
    <col min="3112" max="3112" width="1.5" customWidth="1"/>
    <col min="3113" max="3113" width="14" bestFit="1" customWidth="1"/>
    <col min="3340" max="3340" width="1" customWidth="1"/>
    <col min="3341" max="3341" width="7.1640625" customWidth="1"/>
    <col min="3342" max="3342" width="5.5" customWidth="1"/>
    <col min="3343" max="3343" width="25.5" customWidth="1"/>
    <col min="3344" max="3357" width="10" customWidth="1"/>
    <col min="3358" max="3358" width="0" hidden="1" customWidth="1"/>
    <col min="3359" max="3359" width="10" customWidth="1"/>
    <col min="3360" max="3360" width="6.5" customWidth="1"/>
    <col min="3361" max="3361" width="0.83203125" customWidth="1"/>
    <col min="3362" max="3362" width="0.6640625" customWidth="1"/>
    <col min="3363" max="3367" width="9.1640625" customWidth="1"/>
    <col min="3368" max="3368" width="1.5" customWidth="1"/>
    <col min="3369" max="3369" width="14" bestFit="1" customWidth="1"/>
    <col min="3596" max="3596" width="1" customWidth="1"/>
    <col min="3597" max="3597" width="7.1640625" customWidth="1"/>
    <col min="3598" max="3598" width="5.5" customWidth="1"/>
    <col min="3599" max="3599" width="25.5" customWidth="1"/>
    <col min="3600" max="3613" width="10" customWidth="1"/>
    <col min="3614" max="3614" width="0" hidden="1" customWidth="1"/>
    <col min="3615" max="3615" width="10" customWidth="1"/>
    <col min="3616" max="3616" width="6.5" customWidth="1"/>
    <col min="3617" max="3617" width="0.83203125" customWidth="1"/>
    <col min="3618" max="3618" width="0.6640625" customWidth="1"/>
    <col min="3619" max="3623" width="9.1640625" customWidth="1"/>
    <col min="3624" max="3624" width="1.5" customWidth="1"/>
    <col min="3625" max="3625" width="14" bestFit="1" customWidth="1"/>
    <col min="3852" max="3852" width="1" customWidth="1"/>
    <col min="3853" max="3853" width="7.1640625" customWidth="1"/>
    <col min="3854" max="3854" width="5.5" customWidth="1"/>
    <col min="3855" max="3855" width="25.5" customWidth="1"/>
    <col min="3856" max="3869" width="10" customWidth="1"/>
    <col min="3870" max="3870" width="0" hidden="1" customWidth="1"/>
    <col min="3871" max="3871" width="10" customWidth="1"/>
    <col min="3872" max="3872" width="6.5" customWidth="1"/>
    <col min="3873" max="3873" width="0.83203125" customWidth="1"/>
    <col min="3874" max="3874" width="0.6640625" customWidth="1"/>
    <col min="3875" max="3879" width="9.1640625" customWidth="1"/>
    <col min="3880" max="3880" width="1.5" customWidth="1"/>
    <col min="3881" max="3881" width="14" bestFit="1" customWidth="1"/>
    <col min="4108" max="4108" width="1" customWidth="1"/>
    <col min="4109" max="4109" width="7.1640625" customWidth="1"/>
    <col min="4110" max="4110" width="5.5" customWidth="1"/>
    <col min="4111" max="4111" width="25.5" customWidth="1"/>
    <col min="4112" max="4125" width="10" customWidth="1"/>
    <col min="4126" max="4126" width="0" hidden="1" customWidth="1"/>
    <col min="4127" max="4127" width="10" customWidth="1"/>
    <col min="4128" max="4128" width="6.5" customWidth="1"/>
    <col min="4129" max="4129" width="0.83203125" customWidth="1"/>
    <col min="4130" max="4130" width="0.6640625" customWidth="1"/>
    <col min="4131" max="4135" width="9.1640625" customWidth="1"/>
    <col min="4136" max="4136" width="1.5" customWidth="1"/>
    <col min="4137" max="4137" width="14" bestFit="1" customWidth="1"/>
    <col min="4364" max="4364" width="1" customWidth="1"/>
    <col min="4365" max="4365" width="7.1640625" customWidth="1"/>
    <col min="4366" max="4366" width="5.5" customWidth="1"/>
    <col min="4367" max="4367" width="25.5" customWidth="1"/>
    <col min="4368" max="4381" width="10" customWidth="1"/>
    <col min="4382" max="4382" width="0" hidden="1" customWidth="1"/>
    <col min="4383" max="4383" width="10" customWidth="1"/>
    <col min="4384" max="4384" width="6.5" customWidth="1"/>
    <col min="4385" max="4385" width="0.83203125" customWidth="1"/>
    <col min="4386" max="4386" width="0.6640625" customWidth="1"/>
    <col min="4387" max="4391" width="9.1640625" customWidth="1"/>
    <col min="4392" max="4392" width="1.5" customWidth="1"/>
    <col min="4393" max="4393" width="14" bestFit="1" customWidth="1"/>
    <col min="4620" max="4620" width="1" customWidth="1"/>
    <col min="4621" max="4621" width="7.1640625" customWidth="1"/>
    <col min="4622" max="4622" width="5.5" customWidth="1"/>
    <col min="4623" max="4623" width="25.5" customWidth="1"/>
    <col min="4624" max="4637" width="10" customWidth="1"/>
    <col min="4638" max="4638" width="0" hidden="1" customWidth="1"/>
    <col min="4639" max="4639" width="10" customWidth="1"/>
    <col min="4640" max="4640" width="6.5" customWidth="1"/>
    <col min="4641" max="4641" width="0.83203125" customWidth="1"/>
    <col min="4642" max="4642" width="0.6640625" customWidth="1"/>
    <col min="4643" max="4647" width="9.1640625" customWidth="1"/>
    <col min="4648" max="4648" width="1.5" customWidth="1"/>
    <col min="4649" max="4649" width="14" bestFit="1" customWidth="1"/>
    <col min="4876" max="4876" width="1" customWidth="1"/>
    <col min="4877" max="4877" width="7.1640625" customWidth="1"/>
    <col min="4878" max="4878" width="5.5" customWidth="1"/>
    <col min="4879" max="4879" width="25.5" customWidth="1"/>
    <col min="4880" max="4893" width="10" customWidth="1"/>
    <col min="4894" max="4894" width="0" hidden="1" customWidth="1"/>
    <col min="4895" max="4895" width="10" customWidth="1"/>
    <col min="4896" max="4896" width="6.5" customWidth="1"/>
    <col min="4897" max="4897" width="0.83203125" customWidth="1"/>
    <col min="4898" max="4898" width="0.6640625" customWidth="1"/>
    <col min="4899" max="4903" width="9.1640625" customWidth="1"/>
    <col min="4904" max="4904" width="1.5" customWidth="1"/>
    <col min="4905" max="4905" width="14" bestFit="1" customWidth="1"/>
    <col min="5132" max="5132" width="1" customWidth="1"/>
    <col min="5133" max="5133" width="7.1640625" customWidth="1"/>
    <col min="5134" max="5134" width="5.5" customWidth="1"/>
    <col min="5135" max="5135" width="25.5" customWidth="1"/>
    <col min="5136" max="5149" width="10" customWidth="1"/>
    <col min="5150" max="5150" width="0" hidden="1" customWidth="1"/>
    <col min="5151" max="5151" width="10" customWidth="1"/>
    <col min="5152" max="5152" width="6.5" customWidth="1"/>
    <col min="5153" max="5153" width="0.83203125" customWidth="1"/>
    <col min="5154" max="5154" width="0.6640625" customWidth="1"/>
    <col min="5155" max="5159" width="9.1640625" customWidth="1"/>
    <col min="5160" max="5160" width="1.5" customWidth="1"/>
    <col min="5161" max="5161" width="14" bestFit="1" customWidth="1"/>
    <col min="5388" max="5388" width="1" customWidth="1"/>
    <col min="5389" max="5389" width="7.1640625" customWidth="1"/>
    <col min="5390" max="5390" width="5.5" customWidth="1"/>
    <col min="5391" max="5391" width="25.5" customWidth="1"/>
    <col min="5392" max="5405" width="10" customWidth="1"/>
    <col min="5406" max="5406" width="0" hidden="1" customWidth="1"/>
    <col min="5407" max="5407" width="10" customWidth="1"/>
    <col min="5408" max="5408" width="6.5" customWidth="1"/>
    <col min="5409" max="5409" width="0.83203125" customWidth="1"/>
    <col min="5410" max="5410" width="0.6640625" customWidth="1"/>
    <col min="5411" max="5415" width="9.1640625" customWidth="1"/>
    <col min="5416" max="5416" width="1.5" customWidth="1"/>
    <col min="5417" max="5417" width="14" bestFit="1" customWidth="1"/>
    <col min="5644" max="5644" width="1" customWidth="1"/>
    <col min="5645" max="5645" width="7.1640625" customWidth="1"/>
    <col min="5646" max="5646" width="5.5" customWidth="1"/>
    <col min="5647" max="5647" width="25.5" customWidth="1"/>
    <col min="5648" max="5661" width="10" customWidth="1"/>
    <col min="5662" max="5662" width="0" hidden="1" customWidth="1"/>
    <col min="5663" max="5663" width="10" customWidth="1"/>
    <col min="5664" max="5664" width="6.5" customWidth="1"/>
    <col min="5665" max="5665" width="0.83203125" customWidth="1"/>
    <col min="5666" max="5666" width="0.6640625" customWidth="1"/>
    <col min="5667" max="5671" width="9.1640625" customWidth="1"/>
    <col min="5672" max="5672" width="1.5" customWidth="1"/>
    <col min="5673" max="5673" width="14" bestFit="1" customWidth="1"/>
    <col min="5900" max="5900" width="1" customWidth="1"/>
    <col min="5901" max="5901" width="7.1640625" customWidth="1"/>
    <col min="5902" max="5902" width="5.5" customWidth="1"/>
    <col min="5903" max="5903" width="25.5" customWidth="1"/>
    <col min="5904" max="5917" width="10" customWidth="1"/>
    <col min="5918" max="5918" width="0" hidden="1" customWidth="1"/>
    <col min="5919" max="5919" width="10" customWidth="1"/>
    <col min="5920" max="5920" width="6.5" customWidth="1"/>
    <col min="5921" max="5921" width="0.83203125" customWidth="1"/>
    <col min="5922" max="5922" width="0.6640625" customWidth="1"/>
    <col min="5923" max="5927" width="9.1640625" customWidth="1"/>
    <col min="5928" max="5928" width="1.5" customWidth="1"/>
    <col min="5929" max="5929" width="14" bestFit="1" customWidth="1"/>
    <col min="6156" max="6156" width="1" customWidth="1"/>
    <col min="6157" max="6157" width="7.1640625" customWidth="1"/>
    <col min="6158" max="6158" width="5.5" customWidth="1"/>
    <col min="6159" max="6159" width="25.5" customWidth="1"/>
    <col min="6160" max="6173" width="10" customWidth="1"/>
    <col min="6174" max="6174" width="0" hidden="1" customWidth="1"/>
    <col min="6175" max="6175" width="10" customWidth="1"/>
    <col min="6176" max="6176" width="6.5" customWidth="1"/>
    <col min="6177" max="6177" width="0.83203125" customWidth="1"/>
    <col min="6178" max="6178" width="0.6640625" customWidth="1"/>
    <col min="6179" max="6183" width="9.1640625" customWidth="1"/>
    <col min="6184" max="6184" width="1.5" customWidth="1"/>
    <col min="6185" max="6185" width="14" bestFit="1" customWidth="1"/>
    <col min="6412" max="6412" width="1" customWidth="1"/>
    <col min="6413" max="6413" width="7.1640625" customWidth="1"/>
    <col min="6414" max="6414" width="5.5" customWidth="1"/>
    <col min="6415" max="6415" width="25.5" customWidth="1"/>
    <col min="6416" max="6429" width="10" customWidth="1"/>
    <col min="6430" max="6430" width="0" hidden="1" customWidth="1"/>
    <col min="6431" max="6431" width="10" customWidth="1"/>
    <col min="6432" max="6432" width="6.5" customWidth="1"/>
    <col min="6433" max="6433" width="0.83203125" customWidth="1"/>
    <col min="6434" max="6434" width="0.6640625" customWidth="1"/>
    <col min="6435" max="6439" width="9.1640625" customWidth="1"/>
    <col min="6440" max="6440" width="1.5" customWidth="1"/>
    <col min="6441" max="6441" width="14" bestFit="1" customWidth="1"/>
    <col min="6668" max="6668" width="1" customWidth="1"/>
    <col min="6669" max="6669" width="7.1640625" customWidth="1"/>
    <col min="6670" max="6670" width="5.5" customWidth="1"/>
    <col min="6671" max="6671" width="25.5" customWidth="1"/>
    <col min="6672" max="6685" width="10" customWidth="1"/>
    <col min="6686" max="6686" width="0" hidden="1" customWidth="1"/>
    <col min="6687" max="6687" width="10" customWidth="1"/>
    <col min="6688" max="6688" width="6.5" customWidth="1"/>
    <col min="6689" max="6689" width="0.83203125" customWidth="1"/>
    <col min="6690" max="6690" width="0.6640625" customWidth="1"/>
    <col min="6691" max="6695" width="9.1640625" customWidth="1"/>
    <col min="6696" max="6696" width="1.5" customWidth="1"/>
    <col min="6697" max="6697" width="14" bestFit="1" customWidth="1"/>
    <col min="6924" max="6924" width="1" customWidth="1"/>
    <col min="6925" max="6925" width="7.1640625" customWidth="1"/>
    <col min="6926" max="6926" width="5.5" customWidth="1"/>
    <col min="6927" max="6927" width="25.5" customWidth="1"/>
    <col min="6928" max="6941" width="10" customWidth="1"/>
    <col min="6942" max="6942" width="0" hidden="1" customWidth="1"/>
    <col min="6943" max="6943" width="10" customWidth="1"/>
    <col min="6944" max="6944" width="6.5" customWidth="1"/>
    <col min="6945" max="6945" width="0.83203125" customWidth="1"/>
    <col min="6946" max="6946" width="0.6640625" customWidth="1"/>
    <col min="6947" max="6951" width="9.1640625" customWidth="1"/>
    <col min="6952" max="6952" width="1.5" customWidth="1"/>
    <col min="6953" max="6953" width="14" bestFit="1" customWidth="1"/>
    <col min="7180" max="7180" width="1" customWidth="1"/>
    <col min="7181" max="7181" width="7.1640625" customWidth="1"/>
    <col min="7182" max="7182" width="5.5" customWidth="1"/>
    <col min="7183" max="7183" width="25.5" customWidth="1"/>
    <col min="7184" max="7197" width="10" customWidth="1"/>
    <col min="7198" max="7198" width="0" hidden="1" customWidth="1"/>
    <col min="7199" max="7199" width="10" customWidth="1"/>
    <col min="7200" max="7200" width="6.5" customWidth="1"/>
    <col min="7201" max="7201" width="0.83203125" customWidth="1"/>
    <col min="7202" max="7202" width="0.6640625" customWidth="1"/>
    <col min="7203" max="7207" width="9.1640625" customWidth="1"/>
    <col min="7208" max="7208" width="1.5" customWidth="1"/>
    <col min="7209" max="7209" width="14" bestFit="1" customWidth="1"/>
    <col min="7436" max="7436" width="1" customWidth="1"/>
    <col min="7437" max="7437" width="7.1640625" customWidth="1"/>
    <col min="7438" max="7438" width="5.5" customWidth="1"/>
    <col min="7439" max="7439" width="25.5" customWidth="1"/>
    <col min="7440" max="7453" width="10" customWidth="1"/>
    <col min="7454" max="7454" width="0" hidden="1" customWidth="1"/>
    <col min="7455" max="7455" width="10" customWidth="1"/>
    <col min="7456" max="7456" width="6.5" customWidth="1"/>
    <col min="7457" max="7457" width="0.83203125" customWidth="1"/>
    <col min="7458" max="7458" width="0.6640625" customWidth="1"/>
    <col min="7459" max="7463" width="9.1640625" customWidth="1"/>
    <col min="7464" max="7464" width="1.5" customWidth="1"/>
    <col min="7465" max="7465" width="14" bestFit="1" customWidth="1"/>
    <col min="7692" max="7692" width="1" customWidth="1"/>
    <col min="7693" max="7693" width="7.1640625" customWidth="1"/>
    <col min="7694" max="7694" width="5.5" customWidth="1"/>
    <col min="7695" max="7695" width="25.5" customWidth="1"/>
    <col min="7696" max="7709" width="10" customWidth="1"/>
    <col min="7710" max="7710" width="0" hidden="1" customWidth="1"/>
    <col min="7711" max="7711" width="10" customWidth="1"/>
    <col min="7712" max="7712" width="6.5" customWidth="1"/>
    <col min="7713" max="7713" width="0.83203125" customWidth="1"/>
    <col min="7714" max="7714" width="0.6640625" customWidth="1"/>
    <col min="7715" max="7719" width="9.1640625" customWidth="1"/>
    <col min="7720" max="7720" width="1.5" customWidth="1"/>
    <col min="7721" max="7721" width="14" bestFit="1" customWidth="1"/>
    <col min="7948" max="7948" width="1" customWidth="1"/>
    <col min="7949" max="7949" width="7.1640625" customWidth="1"/>
    <col min="7950" max="7950" width="5.5" customWidth="1"/>
    <col min="7951" max="7951" width="25.5" customWidth="1"/>
    <col min="7952" max="7965" width="10" customWidth="1"/>
    <col min="7966" max="7966" width="0" hidden="1" customWidth="1"/>
    <col min="7967" max="7967" width="10" customWidth="1"/>
    <col min="7968" max="7968" width="6.5" customWidth="1"/>
    <col min="7969" max="7969" width="0.83203125" customWidth="1"/>
    <col min="7970" max="7970" width="0.6640625" customWidth="1"/>
    <col min="7971" max="7975" width="9.1640625" customWidth="1"/>
    <col min="7976" max="7976" width="1.5" customWidth="1"/>
    <col min="7977" max="7977" width="14" bestFit="1" customWidth="1"/>
    <col min="8204" max="8204" width="1" customWidth="1"/>
    <col min="8205" max="8205" width="7.1640625" customWidth="1"/>
    <col min="8206" max="8206" width="5.5" customWidth="1"/>
    <col min="8207" max="8207" width="25.5" customWidth="1"/>
    <col min="8208" max="8221" width="10" customWidth="1"/>
    <col min="8222" max="8222" width="0" hidden="1" customWidth="1"/>
    <col min="8223" max="8223" width="10" customWidth="1"/>
    <col min="8224" max="8224" width="6.5" customWidth="1"/>
    <col min="8225" max="8225" width="0.83203125" customWidth="1"/>
    <col min="8226" max="8226" width="0.6640625" customWidth="1"/>
    <col min="8227" max="8231" width="9.1640625" customWidth="1"/>
    <col min="8232" max="8232" width="1.5" customWidth="1"/>
    <col min="8233" max="8233" width="14" bestFit="1" customWidth="1"/>
    <col min="8460" max="8460" width="1" customWidth="1"/>
    <col min="8461" max="8461" width="7.1640625" customWidth="1"/>
    <col min="8462" max="8462" width="5.5" customWidth="1"/>
    <col min="8463" max="8463" width="25.5" customWidth="1"/>
    <col min="8464" max="8477" width="10" customWidth="1"/>
    <col min="8478" max="8478" width="0" hidden="1" customWidth="1"/>
    <col min="8479" max="8479" width="10" customWidth="1"/>
    <col min="8480" max="8480" width="6.5" customWidth="1"/>
    <col min="8481" max="8481" width="0.83203125" customWidth="1"/>
    <col min="8482" max="8482" width="0.6640625" customWidth="1"/>
    <col min="8483" max="8487" width="9.1640625" customWidth="1"/>
    <col min="8488" max="8488" width="1.5" customWidth="1"/>
    <col min="8489" max="8489" width="14" bestFit="1" customWidth="1"/>
    <col min="8716" max="8716" width="1" customWidth="1"/>
    <col min="8717" max="8717" width="7.1640625" customWidth="1"/>
    <col min="8718" max="8718" width="5.5" customWidth="1"/>
    <col min="8719" max="8719" width="25.5" customWidth="1"/>
    <col min="8720" max="8733" width="10" customWidth="1"/>
    <col min="8734" max="8734" width="0" hidden="1" customWidth="1"/>
    <col min="8735" max="8735" width="10" customWidth="1"/>
    <col min="8736" max="8736" width="6.5" customWidth="1"/>
    <col min="8737" max="8737" width="0.83203125" customWidth="1"/>
    <col min="8738" max="8738" width="0.6640625" customWidth="1"/>
    <col min="8739" max="8743" width="9.1640625" customWidth="1"/>
    <col min="8744" max="8744" width="1.5" customWidth="1"/>
    <col min="8745" max="8745" width="14" bestFit="1" customWidth="1"/>
    <col min="8972" max="8972" width="1" customWidth="1"/>
    <col min="8973" max="8973" width="7.1640625" customWidth="1"/>
    <col min="8974" max="8974" width="5.5" customWidth="1"/>
    <col min="8975" max="8975" width="25.5" customWidth="1"/>
    <col min="8976" max="8989" width="10" customWidth="1"/>
    <col min="8990" max="8990" width="0" hidden="1" customWidth="1"/>
    <col min="8991" max="8991" width="10" customWidth="1"/>
    <col min="8992" max="8992" width="6.5" customWidth="1"/>
    <col min="8993" max="8993" width="0.83203125" customWidth="1"/>
    <col min="8994" max="8994" width="0.6640625" customWidth="1"/>
    <col min="8995" max="8999" width="9.1640625" customWidth="1"/>
    <col min="9000" max="9000" width="1.5" customWidth="1"/>
    <col min="9001" max="9001" width="14" bestFit="1" customWidth="1"/>
    <col min="9228" max="9228" width="1" customWidth="1"/>
    <col min="9229" max="9229" width="7.1640625" customWidth="1"/>
    <col min="9230" max="9230" width="5.5" customWidth="1"/>
    <col min="9231" max="9231" width="25.5" customWidth="1"/>
    <col min="9232" max="9245" width="10" customWidth="1"/>
    <col min="9246" max="9246" width="0" hidden="1" customWidth="1"/>
    <col min="9247" max="9247" width="10" customWidth="1"/>
    <col min="9248" max="9248" width="6.5" customWidth="1"/>
    <col min="9249" max="9249" width="0.83203125" customWidth="1"/>
    <col min="9250" max="9250" width="0.6640625" customWidth="1"/>
    <col min="9251" max="9255" width="9.1640625" customWidth="1"/>
    <col min="9256" max="9256" width="1.5" customWidth="1"/>
    <col min="9257" max="9257" width="14" bestFit="1" customWidth="1"/>
    <col min="9484" max="9484" width="1" customWidth="1"/>
    <col min="9485" max="9485" width="7.1640625" customWidth="1"/>
    <col min="9486" max="9486" width="5.5" customWidth="1"/>
    <col min="9487" max="9487" width="25.5" customWidth="1"/>
    <col min="9488" max="9501" width="10" customWidth="1"/>
    <col min="9502" max="9502" width="0" hidden="1" customWidth="1"/>
    <col min="9503" max="9503" width="10" customWidth="1"/>
    <col min="9504" max="9504" width="6.5" customWidth="1"/>
    <col min="9505" max="9505" width="0.83203125" customWidth="1"/>
    <col min="9506" max="9506" width="0.6640625" customWidth="1"/>
    <col min="9507" max="9511" width="9.1640625" customWidth="1"/>
    <col min="9512" max="9512" width="1.5" customWidth="1"/>
    <col min="9513" max="9513" width="14" bestFit="1" customWidth="1"/>
    <col min="9740" max="9740" width="1" customWidth="1"/>
    <col min="9741" max="9741" width="7.1640625" customWidth="1"/>
    <col min="9742" max="9742" width="5.5" customWidth="1"/>
    <col min="9743" max="9743" width="25.5" customWidth="1"/>
    <col min="9744" max="9757" width="10" customWidth="1"/>
    <col min="9758" max="9758" width="0" hidden="1" customWidth="1"/>
    <col min="9759" max="9759" width="10" customWidth="1"/>
    <col min="9760" max="9760" width="6.5" customWidth="1"/>
    <col min="9761" max="9761" width="0.83203125" customWidth="1"/>
    <col min="9762" max="9762" width="0.6640625" customWidth="1"/>
    <col min="9763" max="9767" width="9.1640625" customWidth="1"/>
    <col min="9768" max="9768" width="1.5" customWidth="1"/>
    <col min="9769" max="9769" width="14" bestFit="1" customWidth="1"/>
    <col min="9996" max="9996" width="1" customWidth="1"/>
    <col min="9997" max="9997" width="7.1640625" customWidth="1"/>
    <col min="9998" max="9998" width="5.5" customWidth="1"/>
    <col min="9999" max="9999" width="25.5" customWidth="1"/>
    <col min="10000" max="10013" width="10" customWidth="1"/>
    <col min="10014" max="10014" width="0" hidden="1" customWidth="1"/>
    <col min="10015" max="10015" width="10" customWidth="1"/>
    <col min="10016" max="10016" width="6.5" customWidth="1"/>
    <col min="10017" max="10017" width="0.83203125" customWidth="1"/>
    <col min="10018" max="10018" width="0.6640625" customWidth="1"/>
    <col min="10019" max="10023" width="9.1640625" customWidth="1"/>
    <col min="10024" max="10024" width="1.5" customWidth="1"/>
    <col min="10025" max="10025" width="14" bestFit="1" customWidth="1"/>
    <col min="10252" max="10252" width="1" customWidth="1"/>
    <col min="10253" max="10253" width="7.1640625" customWidth="1"/>
    <col min="10254" max="10254" width="5.5" customWidth="1"/>
    <col min="10255" max="10255" width="25.5" customWidth="1"/>
    <col min="10256" max="10269" width="10" customWidth="1"/>
    <col min="10270" max="10270" width="0" hidden="1" customWidth="1"/>
    <col min="10271" max="10271" width="10" customWidth="1"/>
    <col min="10272" max="10272" width="6.5" customWidth="1"/>
    <col min="10273" max="10273" width="0.83203125" customWidth="1"/>
    <col min="10274" max="10274" width="0.6640625" customWidth="1"/>
    <col min="10275" max="10279" width="9.1640625" customWidth="1"/>
    <col min="10280" max="10280" width="1.5" customWidth="1"/>
    <col min="10281" max="10281" width="14" bestFit="1" customWidth="1"/>
    <col min="10508" max="10508" width="1" customWidth="1"/>
    <col min="10509" max="10509" width="7.1640625" customWidth="1"/>
    <col min="10510" max="10510" width="5.5" customWidth="1"/>
    <col min="10511" max="10511" width="25.5" customWidth="1"/>
    <col min="10512" max="10525" width="10" customWidth="1"/>
    <col min="10526" max="10526" width="0" hidden="1" customWidth="1"/>
    <col min="10527" max="10527" width="10" customWidth="1"/>
    <col min="10528" max="10528" width="6.5" customWidth="1"/>
    <col min="10529" max="10529" width="0.83203125" customWidth="1"/>
    <col min="10530" max="10530" width="0.6640625" customWidth="1"/>
    <col min="10531" max="10535" width="9.1640625" customWidth="1"/>
    <col min="10536" max="10536" width="1.5" customWidth="1"/>
    <col min="10537" max="10537" width="14" bestFit="1" customWidth="1"/>
    <col min="10764" max="10764" width="1" customWidth="1"/>
    <col min="10765" max="10765" width="7.1640625" customWidth="1"/>
    <col min="10766" max="10766" width="5.5" customWidth="1"/>
    <col min="10767" max="10767" width="25.5" customWidth="1"/>
    <col min="10768" max="10781" width="10" customWidth="1"/>
    <col min="10782" max="10782" width="0" hidden="1" customWidth="1"/>
    <col min="10783" max="10783" width="10" customWidth="1"/>
    <col min="10784" max="10784" width="6.5" customWidth="1"/>
    <col min="10785" max="10785" width="0.83203125" customWidth="1"/>
    <col min="10786" max="10786" width="0.6640625" customWidth="1"/>
    <col min="10787" max="10791" width="9.1640625" customWidth="1"/>
    <col min="10792" max="10792" width="1.5" customWidth="1"/>
    <col min="10793" max="10793" width="14" bestFit="1" customWidth="1"/>
    <col min="11020" max="11020" width="1" customWidth="1"/>
    <col min="11021" max="11021" width="7.1640625" customWidth="1"/>
    <col min="11022" max="11022" width="5.5" customWidth="1"/>
    <col min="11023" max="11023" width="25.5" customWidth="1"/>
    <col min="11024" max="11037" width="10" customWidth="1"/>
    <col min="11038" max="11038" width="0" hidden="1" customWidth="1"/>
    <col min="11039" max="11039" width="10" customWidth="1"/>
    <col min="11040" max="11040" width="6.5" customWidth="1"/>
    <col min="11041" max="11041" width="0.83203125" customWidth="1"/>
    <col min="11042" max="11042" width="0.6640625" customWidth="1"/>
    <col min="11043" max="11047" width="9.1640625" customWidth="1"/>
    <col min="11048" max="11048" width="1.5" customWidth="1"/>
    <col min="11049" max="11049" width="14" bestFit="1" customWidth="1"/>
    <col min="11276" max="11276" width="1" customWidth="1"/>
    <col min="11277" max="11277" width="7.1640625" customWidth="1"/>
    <col min="11278" max="11278" width="5.5" customWidth="1"/>
    <col min="11279" max="11279" width="25.5" customWidth="1"/>
    <col min="11280" max="11293" width="10" customWidth="1"/>
    <col min="11294" max="11294" width="0" hidden="1" customWidth="1"/>
    <col min="11295" max="11295" width="10" customWidth="1"/>
    <col min="11296" max="11296" width="6.5" customWidth="1"/>
    <col min="11297" max="11297" width="0.83203125" customWidth="1"/>
    <col min="11298" max="11298" width="0.6640625" customWidth="1"/>
    <col min="11299" max="11303" width="9.1640625" customWidth="1"/>
    <col min="11304" max="11304" width="1.5" customWidth="1"/>
    <col min="11305" max="11305" width="14" bestFit="1" customWidth="1"/>
    <col min="11532" max="11532" width="1" customWidth="1"/>
    <col min="11533" max="11533" width="7.1640625" customWidth="1"/>
    <col min="11534" max="11534" width="5.5" customWidth="1"/>
    <col min="11535" max="11535" width="25.5" customWidth="1"/>
    <col min="11536" max="11549" width="10" customWidth="1"/>
    <col min="11550" max="11550" width="0" hidden="1" customWidth="1"/>
    <col min="11551" max="11551" width="10" customWidth="1"/>
    <col min="11552" max="11552" width="6.5" customWidth="1"/>
    <col min="11553" max="11553" width="0.83203125" customWidth="1"/>
    <col min="11554" max="11554" width="0.6640625" customWidth="1"/>
    <col min="11555" max="11559" width="9.1640625" customWidth="1"/>
    <col min="11560" max="11560" width="1.5" customWidth="1"/>
    <col min="11561" max="11561" width="14" bestFit="1" customWidth="1"/>
    <col min="11788" max="11788" width="1" customWidth="1"/>
    <col min="11789" max="11789" width="7.1640625" customWidth="1"/>
    <col min="11790" max="11790" width="5.5" customWidth="1"/>
    <col min="11791" max="11791" width="25.5" customWidth="1"/>
    <col min="11792" max="11805" width="10" customWidth="1"/>
    <col min="11806" max="11806" width="0" hidden="1" customWidth="1"/>
    <col min="11807" max="11807" width="10" customWidth="1"/>
    <col min="11808" max="11808" width="6.5" customWidth="1"/>
    <col min="11809" max="11809" width="0.83203125" customWidth="1"/>
    <col min="11810" max="11810" width="0.6640625" customWidth="1"/>
    <col min="11811" max="11815" width="9.1640625" customWidth="1"/>
    <col min="11816" max="11816" width="1.5" customWidth="1"/>
    <col min="11817" max="11817" width="14" bestFit="1" customWidth="1"/>
    <col min="12044" max="12044" width="1" customWidth="1"/>
    <col min="12045" max="12045" width="7.1640625" customWidth="1"/>
    <col min="12046" max="12046" width="5.5" customWidth="1"/>
    <col min="12047" max="12047" width="25.5" customWidth="1"/>
    <col min="12048" max="12061" width="10" customWidth="1"/>
    <col min="12062" max="12062" width="0" hidden="1" customWidth="1"/>
    <col min="12063" max="12063" width="10" customWidth="1"/>
    <col min="12064" max="12064" width="6.5" customWidth="1"/>
    <col min="12065" max="12065" width="0.83203125" customWidth="1"/>
    <col min="12066" max="12066" width="0.6640625" customWidth="1"/>
    <col min="12067" max="12071" width="9.1640625" customWidth="1"/>
    <col min="12072" max="12072" width="1.5" customWidth="1"/>
    <col min="12073" max="12073" width="14" bestFit="1" customWidth="1"/>
    <col min="12300" max="12300" width="1" customWidth="1"/>
    <col min="12301" max="12301" width="7.1640625" customWidth="1"/>
    <col min="12302" max="12302" width="5.5" customWidth="1"/>
    <col min="12303" max="12303" width="25.5" customWidth="1"/>
    <col min="12304" max="12317" width="10" customWidth="1"/>
    <col min="12318" max="12318" width="0" hidden="1" customWidth="1"/>
    <col min="12319" max="12319" width="10" customWidth="1"/>
    <col min="12320" max="12320" width="6.5" customWidth="1"/>
    <col min="12321" max="12321" width="0.83203125" customWidth="1"/>
    <col min="12322" max="12322" width="0.6640625" customWidth="1"/>
    <col min="12323" max="12327" width="9.1640625" customWidth="1"/>
    <col min="12328" max="12328" width="1.5" customWidth="1"/>
    <col min="12329" max="12329" width="14" bestFit="1" customWidth="1"/>
    <col min="12556" max="12556" width="1" customWidth="1"/>
    <col min="12557" max="12557" width="7.1640625" customWidth="1"/>
    <col min="12558" max="12558" width="5.5" customWidth="1"/>
    <col min="12559" max="12559" width="25.5" customWidth="1"/>
    <col min="12560" max="12573" width="10" customWidth="1"/>
    <col min="12574" max="12574" width="0" hidden="1" customWidth="1"/>
    <col min="12575" max="12575" width="10" customWidth="1"/>
    <col min="12576" max="12576" width="6.5" customWidth="1"/>
    <col min="12577" max="12577" width="0.83203125" customWidth="1"/>
    <col min="12578" max="12578" width="0.6640625" customWidth="1"/>
    <col min="12579" max="12583" width="9.1640625" customWidth="1"/>
    <col min="12584" max="12584" width="1.5" customWidth="1"/>
    <col min="12585" max="12585" width="14" bestFit="1" customWidth="1"/>
    <col min="12812" max="12812" width="1" customWidth="1"/>
    <col min="12813" max="12813" width="7.1640625" customWidth="1"/>
    <col min="12814" max="12814" width="5.5" customWidth="1"/>
    <col min="12815" max="12815" width="25.5" customWidth="1"/>
    <col min="12816" max="12829" width="10" customWidth="1"/>
    <col min="12830" max="12830" width="0" hidden="1" customWidth="1"/>
    <col min="12831" max="12831" width="10" customWidth="1"/>
    <col min="12832" max="12832" width="6.5" customWidth="1"/>
    <col min="12833" max="12833" width="0.83203125" customWidth="1"/>
    <col min="12834" max="12834" width="0.6640625" customWidth="1"/>
    <col min="12835" max="12839" width="9.1640625" customWidth="1"/>
    <col min="12840" max="12840" width="1.5" customWidth="1"/>
    <col min="12841" max="12841" width="14" bestFit="1" customWidth="1"/>
    <col min="13068" max="13068" width="1" customWidth="1"/>
    <col min="13069" max="13069" width="7.1640625" customWidth="1"/>
    <col min="13070" max="13070" width="5.5" customWidth="1"/>
    <col min="13071" max="13071" width="25.5" customWidth="1"/>
    <col min="13072" max="13085" width="10" customWidth="1"/>
    <col min="13086" max="13086" width="0" hidden="1" customWidth="1"/>
    <col min="13087" max="13087" width="10" customWidth="1"/>
    <col min="13088" max="13088" width="6.5" customWidth="1"/>
    <col min="13089" max="13089" width="0.83203125" customWidth="1"/>
    <col min="13090" max="13090" width="0.6640625" customWidth="1"/>
    <col min="13091" max="13095" width="9.1640625" customWidth="1"/>
    <col min="13096" max="13096" width="1.5" customWidth="1"/>
    <col min="13097" max="13097" width="14" bestFit="1" customWidth="1"/>
    <col min="13324" max="13324" width="1" customWidth="1"/>
    <col min="13325" max="13325" width="7.1640625" customWidth="1"/>
    <col min="13326" max="13326" width="5.5" customWidth="1"/>
    <col min="13327" max="13327" width="25.5" customWidth="1"/>
    <col min="13328" max="13341" width="10" customWidth="1"/>
    <col min="13342" max="13342" width="0" hidden="1" customWidth="1"/>
    <col min="13343" max="13343" width="10" customWidth="1"/>
    <col min="13344" max="13344" width="6.5" customWidth="1"/>
    <col min="13345" max="13345" width="0.83203125" customWidth="1"/>
    <col min="13346" max="13346" width="0.6640625" customWidth="1"/>
    <col min="13347" max="13351" width="9.1640625" customWidth="1"/>
    <col min="13352" max="13352" width="1.5" customWidth="1"/>
    <col min="13353" max="13353" width="14" bestFit="1" customWidth="1"/>
    <col min="13580" max="13580" width="1" customWidth="1"/>
    <col min="13581" max="13581" width="7.1640625" customWidth="1"/>
    <col min="13582" max="13582" width="5.5" customWidth="1"/>
    <col min="13583" max="13583" width="25.5" customWidth="1"/>
    <col min="13584" max="13597" width="10" customWidth="1"/>
    <col min="13598" max="13598" width="0" hidden="1" customWidth="1"/>
    <col min="13599" max="13599" width="10" customWidth="1"/>
    <col min="13600" max="13600" width="6.5" customWidth="1"/>
    <col min="13601" max="13601" width="0.83203125" customWidth="1"/>
    <col min="13602" max="13602" width="0.6640625" customWidth="1"/>
    <col min="13603" max="13607" width="9.1640625" customWidth="1"/>
    <col min="13608" max="13608" width="1.5" customWidth="1"/>
    <col min="13609" max="13609" width="14" bestFit="1" customWidth="1"/>
    <col min="13836" max="13836" width="1" customWidth="1"/>
    <col min="13837" max="13837" width="7.1640625" customWidth="1"/>
    <col min="13838" max="13838" width="5.5" customWidth="1"/>
    <col min="13839" max="13839" width="25.5" customWidth="1"/>
    <col min="13840" max="13853" width="10" customWidth="1"/>
    <col min="13854" max="13854" width="0" hidden="1" customWidth="1"/>
    <col min="13855" max="13855" width="10" customWidth="1"/>
    <col min="13856" max="13856" width="6.5" customWidth="1"/>
    <col min="13857" max="13857" width="0.83203125" customWidth="1"/>
    <col min="13858" max="13858" width="0.6640625" customWidth="1"/>
    <col min="13859" max="13863" width="9.1640625" customWidth="1"/>
    <col min="13864" max="13864" width="1.5" customWidth="1"/>
    <col min="13865" max="13865" width="14" bestFit="1" customWidth="1"/>
    <col min="14092" max="14092" width="1" customWidth="1"/>
    <col min="14093" max="14093" width="7.1640625" customWidth="1"/>
    <col min="14094" max="14094" width="5.5" customWidth="1"/>
    <col min="14095" max="14095" width="25.5" customWidth="1"/>
    <col min="14096" max="14109" width="10" customWidth="1"/>
    <col min="14110" max="14110" width="0" hidden="1" customWidth="1"/>
    <col min="14111" max="14111" width="10" customWidth="1"/>
    <col min="14112" max="14112" width="6.5" customWidth="1"/>
    <col min="14113" max="14113" width="0.83203125" customWidth="1"/>
    <col min="14114" max="14114" width="0.6640625" customWidth="1"/>
    <col min="14115" max="14119" width="9.1640625" customWidth="1"/>
    <col min="14120" max="14120" width="1.5" customWidth="1"/>
    <col min="14121" max="14121" width="14" bestFit="1" customWidth="1"/>
    <col min="14348" max="14348" width="1" customWidth="1"/>
    <col min="14349" max="14349" width="7.1640625" customWidth="1"/>
    <col min="14350" max="14350" width="5.5" customWidth="1"/>
    <col min="14351" max="14351" width="25.5" customWidth="1"/>
    <col min="14352" max="14365" width="10" customWidth="1"/>
    <col min="14366" max="14366" width="0" hidden="1" customWidth="1"/>
    <col min="14367" max="14367" width="10" customWidth="1"/>
    <col min="14368" max="14368" width="6.5" customWidth="1"/>
    <col min="14369" max="14369" width="0.83203125" customWidth="1"/>
    <col min="14370" max="14370" width="0.6640625" customWidth="1"/>
    <col min="14371" max="14375" width="9.1640625" customWidth="1"/>
    <col min="14376" max="14376" width="1.5" customWidth="1"/>
    <col min="14377" max="14377" width="14" bestFit="1" customWidth="1"/>
    <col min="14604" max="14604" width="1" customWidth="1"/>
    <col min="14605" max="14605" width="7.1640625" customWidth="1"/>
    <col min="14606" max="14606" width="5.5" customWidth="1"/>
    <col min="14607" max="14607" width="25.5" customWidth="1"/>
    <col min="14608" max="14621" width="10" customWidth="1"/>
    <col min="14622" max="14622" width="0" hidden="1" customWidth="1"/>
    <col min="14623" max="14623" width="10" customWidth="1"/>
    <col min="14624" max="14624" width="6.5" customWidth="1"/>
    <col min="14625" max="14625" width="0.83203125" customWidth="1"/>
    <col min="14626" max="14626" width="0.6640625" customWidth="1"/>
    <col min="14627" max="14631" width="9.1640625" customWidth="1"/>
    <col min="14632" max="14632" width="1.5" customWidth="1"/>
    <col min="14633" max="14633" width="14" bestFit="1" customWidth="1"/>
    <col min="14860" max="14860" width="1" customWidth="1"/>
    <col min="14861" max="14861" width="7.1640625" customWidth="1"/>
    <col min="14862" max="14862" width="5.5" customWidth="1"/>
    <col min="14863" max="14863" width="25.5" customWidth="1"/>
    <col min="14864" max="14877" width="10" customWidth="1"/>
    <col min="14878" max="14878" width="0" hidden="1" customWidth="1"/>
    <col min="14879" max="14879" width="10" customWidth="1"/>
    <col min="14880" max="14880" width="6.5" customWidth="1"/>
    <col min="14881" max="14881" width="0.83203125" customWidth="1"/>
    <col min="14882" max="14882" width="0.6640625" customWidth="1"/>
    <col min="14883" max="14887" width="9.1640625" customWidth="1"/>
    <col min="14888" max="14888" width="1.5" customWidth="1"/>
    <col min="14889" max="14889" width="14" bestFit="1" customWidth="1"/>
    <col min="15116" max="15116" width="1" customWidth="1"/>
    <col min="15117" max="15117" width="7.1640625" customWidth="1"/>
    <col min="15118" max="15118" width="5.5" customWidth="1"/>
    <col min="15119" max="15119" width="25.5" customWidth="1"/>
    <col min="15120" max="15133" width="10" customWidth="1"/>
    <col min="15134" max="15134" width="0" hidden="1" customWidth="1"/>
    <col min="15135" max="15135" width="10" customWidth="1"/>
    <col min="15136" max="15136" width="6.5" customWidth="1"/>
    <col min="15137" max="15137" width="0.83203125" customWidth="1"/>
    <col min="15138" max="15138" width="0.6640625" customWidth="1"/>
    <col min="15139" max="15143" width="9.1640625" customWidth="1"/>
    <col min="15144" max="15144" width="1.5" customWidth="1"/>
    <col min="15145" max="15145" width="14" bestFit="1" customWidth="1"/>
    <col min="15372" max="15372" width="1" customWidth="1"/>
    <col min="15373" max="15373" width="7.1640625" customWidth="1"/>
    <col min="15374" max="15374" width="5.5" customWidth="1"/>
    <col min="15375" max="15375" width="25.5" customWidth="1"/>
    <col min="15376" max="15389" width="10" customWidth="1"/>
    <col min="15390" max="15390" width="0" hidden="1" customWidth="1"/>
    <col min="15391" max="15391" width="10" customWidth="1"/>
    <col min="15392" max="15392" width="6.5" customWidth="1"/>
    <col min="15393" max="15393" width="0.83203125" customWidth="1"/>
    <col min="15394" max="15394" width="0.6640625" customWidth="1"/>
    <col min="15395" max="15399" width="9.1640625" customWidth="1"/>
    <col min="15400" max="15400" width="1.5" customWidth="1"/>
    <col min="15401" max="15401" width="14" bestFit="1" customWidth="1"/>
    <col min="15628" max="15628" width="1" customWidth="1"/>
    <col min="15629" max="15629" width="7.1640625" customWidth="1"/>
    <col min="15630" max="15630" width="5.5" customWidth="1"/>
    <col min="15631" max="15631" width="25.5" customWidth="1"/>
    <col min="15632" max="15645" width="10" customWidth="1"/>
    <col min="15646" max="15646" width="0" hidden="1" customWidth="1"/>
    <col min="15647" max="15647" width="10" customWidth="1"/>
    <col min="15648" max="15648" width="6.5" customWidth="1"/>
    <col min="15649" max="15649" width="0.83203125" customWidth="1"/>
    <col min="15650" max="15650" width="0.6640625" customWidth="1"/>
    <col min="15651" max="15655" width="9.1640625" customWidth="1"/>
    <col min="15656" max="15656" width="1.5" customWidth="1"/>
    <col min="15657" max="15657" width="14" bestFit="1" customWidth="1"/>
    <col min="15884" max="15884" width="1" customWidth="1"/>
    <col min="15885" max="15885" width="7.1640625" customWidth="1"/>
    <col min="15886" max="15886" width="5.5" customWidth="1"/>
    <col min="15887" max="15887" width="25.5" customWidth="1"/>
    <col min="15888" max="15901" width="10" customWidth="1"/>
    <col min="15902" max="15902" width="0" hidden="1" customWidth="1"/>
    <col min="15903" max="15903" width="10" customWidth="1"/>
    <col min="15904" max="15904" width="6.5" customWidth="1"/>
    <col min="15905" max="15905" width="0.83203125" customWidth="1"/>
    <col min="15906" max="15906" width="0.6640625" customWidth="1"/>
    <col min="15907" max="15911" width="9.1640625" customWidth="1"/>
    <col min="15912" max="15912" width="1.5" customWidth="1"/>
    <col min="15913" max="15913" width="14" bestFit="1" customWidth="1"/>
    <col min="16140" max="16140" width="1" customWidth="1"/>
    <col min="16141" max="16141" width="7.1640625" customWidth="1"/>
    <col min="16142" max="16142" width="5.5" customWidth="1"/>
    <col min="16143" max="16143" width="25.5" customWidth="1"/>
    <col min="16144" max="16157" width="10" customWidth="1"/>
    <col min="16158" max="16158" width="0" hidden="1" customWidth="1"/>
    <col min="16159" max="16159" width="10" customWidth="1"/>
    <col min="16160" max="16160" width="6.5" customWidth="1"/>
    <col min="16161" max="16161" width="0.83203125" customWidth="1"/>
    <col min="16162" max="16162" width="0.6640625" customWidth="1"/>
    <col min="16163" max="16167" width="9.1640625" customWidth="1"/>
    <col min="16168" max="16168" width="1.5" customWidth="1"/>
    <col min="16169" max="16169" width="14" bestFit="1" customWidth="1"/>
  </cols>
  <sheetData>
    <row r="1" spans="1:57" ht="24" customHeight="1" x14ac:dyDescent="0.2">
      <c r="B1" s="1144" t="s">
        <v>481</v>
      </c>
      <c r="C1" s="1144"/>
      <c r="D1" s="1144"/>
      <c r="E1" s="1144"/>
      <c r="F1" s="1144"/>
      <c r="G1" s="1144"/>
      <c r="H1" s="1144"/>
      <c r="I1" s="1144"/>
      <c r="J1" s="1144"/>
      <c r="K1" s="1144"/>
      <c r="L1" s="1144"/>
      <c r="M1" s="1144"/>
      <c r="N1" s="1144"/>
      <c r="O1" s="1144"/>
      <c r="P1" s="1144"/>
      <c r="Q1" s="1144"/>
      <c r="R1" s="1144"/>
      <c r="S1" s="1144"/>
      <c r="T1" s="1144"/>
      <c r="U1" s="1144"/>
      <c r="V1" s="1144"/>
      <c r="W1" s="1144"/>
      <c r="X1" s="1144"/>
      <c r="Y1" s="1144"/>
      <c r="Z1" s="1144"/>
    </row>
    <row r="2" spans="1:57" x14ac:dyDescent="0.2">
      <c r="E2" s="627"/>
      <c r="F2" s="627"/>
      <c r="G2" s="464"/>
      <c r="H2" s="46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" t="s">
        <v>0</v>
      </c>
      <c r="U2" s="2"/>
      <c r="V2" s="2">
        <v>1.1000000000000001</v>
      </c>
      <c r="W2" s="923">
        <v>0.02</v>
      </c>
      <c r="X2" s="923"/>
      <c r="Y2" s="1097"/>
      <c r="AA2"/>
      <c r="AC2" s="473"/>
      <c r="AD2" s="4"/>
      <c r="AE2" s="4"/>
      <c r="AF2" s="4"/>
      <c r="AG2" s="4"/>
      <c r="AH2" s="4"/>
      <c r="AI2" s="4"/>
      <c r="AK2"/>
      <c r="AL2"/>
      <c r="AS2" s="586">
        <v>2.5000000000000001E-2</v>
      </c>
      <c r="AU2" s="867">
        <v>2.1999999999999999E-2</v>
      </c>
    </row>
    <row r="3" spans="1:57" ht="6" customHeight="1" thickBot="1" x14ac:dyDescent="0.25">
      <c r="V3" s="5"/>
      <c r="Y3" s="1098"/>
      <c r="AA3"/>
      <c r="AC3" s="473"/>
      <c r="AD3" s="4"/>
      <c r="AE3" s="4"/>
      <c r="AF3" s="4"/>
      <c r="AG3" s="4"/>
      <c r="AH3" s="4"/>
      <c r="AI3" s="4"/>
      <c r="AK3"/>
      <c r="AL3"/>
    </row>
    <row r="4" spans="1:57" s="12" customFormat="1" ht="13.5" customHeight="1" thickTop="1" x14ac:dyDescent="0.2">
      <c r="A4" s="6"/>
      <c r="B4" s="1128" t="s">
        <v>456</v>
      </c>
      <c r="C4" s="1129"/>
      <c r="D4" s="1130"/>
      <c r="E4" s="629" t="s">
        <v>1</v>
      </c>
      <c r="F4" s="630"/>
      <c r="G4" s="805" t="s">
        <v>57</v>
      </c>
      <c r="H4" s="806"/>
      <c r="I4" s="932" t="s">
        <v>197</v>
      </c>
      <c r="J4" s="933"/>
      <c r="K4" s="1001" t="s">
        <v>227</v>
      </c>
      <c r="L4" s="1001"/>
      <c r="M4" s="1001"/>
      <c r="N4" s="921" t="s">
        <v>261</v>
      </c>
      <c r="O4" s="1002"/>
      <c r="P4" s="921" t="s">
        <v>391</v>
      </c>
      <c r="Q4" s="841"/>
      <c r="R4" s="9" t="s">
        <v>426</v>
      </c>
      <c r="S4" s="10"/>
      <c r="T4" s="10"/>
      <c r="U4" s="7"/>
      <c r="V4" s="11"/>
      <c r="W4" s="1151" t="s">
        <v>449</v>
      </c>
      <c r="X4" s="1152"/>
      <c r="Y4" s="1099" t="s">
        <v>482</v>
      </c>
      <c r="Z4" s="108"/>
      <c r="AB4" s="12" t="s">
        <v>2</v>
      </c>
      <c r="AC4" s="474" t="s">
        <v>332</v>
      </c>
      <c r="AD4" s="4"/>
      <c r="AE4" s="13"/>
      <c r="AF4" s="13"/>
      <c r="AG4" s="13"/>
      <c r="AH4" s="13"/>
      <c r="AI4" s="13"/>
      <c r="AJ4" s="13"/>
      <c r="AS4" s="601" t="s">
        <v>261</v>
      </c>
    </row>
    <row r="5" spans="1:57" s="16" customFormat="1" ht="21.75" customHeight="1" x14ac:dyDescent="0.2">
      <c r="A5" s="14"/>
      <c r="B5" s="1131"/>
      <c r="C5" s="1132"/>
      <c r="D5" s="1133"/>
      <c r="E5" s="1139" t="s">
        <v>3</v>
      </c>
      <c r="F5" s="1141" t="s">
        <v>4</v>
      </c>
      <c r="G5" s="1145" t="s">
        <v>3</v>
      </c>
      <c r="H5" s="1147" t="s">
        <v>4</v>
      </c>
      <c r="I5" s="1143" t="s">
        <v>3</v>
      </c>
      <c r="J5" s="1138" t="s">
        <v>4</v>
      </c>
      <c r="K5" s="1143" t="s">
        <v>3</v>
      </c>
      <c r="L5" s="1138" t="s">
        <v>4</v>
      </c>
      <c r="M5" s="1023"/>
      <c r="N5" s="1143" t="s">
        <v>3</v>
      </c>
      <c r="O5" s="1138" t="s">
        <v>4</v>
      </c>
      <c r="P5" s="1143" t="s">
        <v>3</v>
      </c>
      <c r="Q5" s="1138" t="s">
        <v>4</v>
      </c>
      <c r="R5" s="1143" t="s">
        <v>3</v>
      </c>
      <c r="S5" s="1149" t="s">
        <v>427</v>
      </c>
      <c r="T5" s="1150" t="s">
        <v>428</v>
      </c>
      <c r="U5" s="1134" t="s">
        <v>5</v>
      </c>
      <c r="V5" s="15" t="s">
        <v>6</v>
      </c>
      <c r="W5" s="1153" t="s">
        <v>3</v>
      </c>
      <c r="X5" s="1154"/>
      <c r="Y5" s="1100" t="s">
        <v>3</v>
      </c>
      <c r="Z5" s="109"/>
      <c r="AC5" s="475"/>
      <c r="AD5" s="17"/>
      <c r="AE5" s="18"/>
      <c r="AF5" s="18"/>
      <c r="AG5" s="18"/>
      <c r="AH5" s="18"/>
      <c r="AI5" s="18"/>
      <c r="AJ5" s="18"/>
      <c r="AS5" s="1124" t="s">
        <v>3</v>
      </c>
      <c r="AU5" s="16" t="s">
        <v>465</v>
      </c>
      <c r="AV5" s="1121" t="s">
        <v>218</v>
      </c>
      <c r="AW5" s="1121" t="s">
        <v>27</v>
      </c>
      <c r="AX5" s="1121" t="s">
        <v>334</v>
      </c>
      <c r="AY5" s="1121" t="s">
        <v>335</v>
      </c>
      <c r="AZ5" s="1121" t="s">
        <v>333</v>
      </c>
      <c r="BA5" s="1121" t="s">
        <v>336</v>
      </c>
      <c r="BB5" s="1121" t="s">
        <v>225</v>
      </c>
      <c r="BC5" s="1121" t="s">
        <v>80</v>
      </c>
    </row>
    <row r="6" spans="1:57" s="16" customFormat="1" ht="24" customHeight="1" x14ac:dyDescent="0.15">
      <c r="A6" s="14"/>
      <c r="B6" s="19" t="s">
        <v>7</v>
      </c>
      <c r="C6" s="1134" t="s">
        <v>8</v>
      </c>
      <c r="D6" s="1135"/>
      <c r="E6" s="1140"/>
      <c r="F6" s="1142"/>
      <c r="G6" s="1146"/>
      <c r="H6" s="1148"/>
      <c r="I6" s="1143"/>
      <c r="J6" s="1138"/>
      <c r="K6" s="1143"/>
      <c r="L6" s="1138"/>
      <c r="M6" s="1023"/>
      <c r="N6" s="1143"/>
      <c r="O6" s="1138"/>
      <c r="P6" s="1143"/>
      <c r="Q6" s="1138"/>
      <c r="R6" s="1143"/>
      <c r="S6" s="1149"/>
      <c r="T6" s="1150"/>
      <c r="U6" s="1134"/>
      <c r="V6" s="15"/>
      <c r="W6" s="1044" t="s">
        <v>469</v>
      </c>
      <c r="X6" s="1067" t="s">
        <v>470</v>
      </c>
      <c r="Y6" s="1101" t="s">
        <v>469</v>
      </c>
      <c r="Z6" s="109"/>
      <c r="AC6" s="475"/>
      <c r="AD6" s="17"/>
      <c r="AE6" s="18"/>
      <c r="AF6" s="18"/>
      <c r="AG6" s="18"/>
      <c r="AH6" s="18"/>
      <c r="AI6" s="18"/>
      <c r="AJ6" s="18"/>
      <c r="AS6" s="1124"/>
      <c r="AV6" s="1121"/>
      <c r="AW6" s="1121"/>
      <c r="AX6" s="1121"/>
      <c r="AY6" s="1121"/>
      <c r="AZ6" s="1121"/>
      <c r="BA6" s="1121"/>
      <c r="BB6" s="1121"/>
      <c r="BC6" s="1121"/>
    </row>
    <row r="7" spans="1:57" s="25" customFormat="1" thickBot="1" x14ac:dyDescent="0.2">
      <c r="A7" s="20"/>
      <c r="B7" s="21" t="s">
        <v>9</v>
      </c>
      <c r="C7" s="1122" t="s">
        <v>10</v>
      </c>
      <c r="D7" s="1123"/>
      <c r="E7" s="631" t="s">
        <v>263</v>
      </c>
      <c r="F7" s="632" t="s">
        <v>11</v>
      </c>
      <c r="G7" s="679" t="s">
        <v>264</v>
      </c>
      <c r="H7" s="465" t="s">
        <v>11</v>
      </c>
      <c r="I7" s="679" t="s">
        <v>264</v>
      </c>
      <c r="J7" s="465" t="s">
        <v>11</v>
      </c>
      <c r="K7" s="679" t="s">
        <v>264</v>
      </c>
      <c r="L7" s="465" t="s">
        <v>11</v>
      </c>
      <c r="M7" s="1033"/>
      <c r="N7" s="679" t="s">
        <v>264</v>
      </c>
      <c r="O7" s="465" t="s">
        <v>11</v>
      </c>
      <c r="P7" s="466" t="s">
        <v>352</v>
      </c>
      <c r="Q7" s="465" t="s">
        <v>13</v>
      </c>
      <c r="R7" s="466" t="s">
        <v>14</v>
      </c>
      <c r="S7" s="467" t="s">
        <v>15</v>
      </c>
      <c r="T7" s="468" t="s">
        <v>16</v>
      </c>
      <c r="U7" s="469" t="s">
        <v>17</v>
      </c>
      <c r="V7" s="470"/>
      <c r="W7" s="23" t="s">
        <v>18</v>
      </c>
      <c r="X7" s="87" t="s">
        <v>19</v>
      </c>
      <c r="Y7" s="1102"/>
      <c r="Z7" s="110"/>
      <c r="AC7" s="476">
        <v>1</v>
      </c>
      <c r="AD7" s="592" t="s">
        <v>318</v>
      </c>
      <c r="AE7" s="593"/>
      <c r="AF7" s="593"/>
      <c r="AG7" s="593"/>
      <c r="AH7" s="593"/>
      <c r="AI7" s="593"/>
      <c r="AJ7" s="17"/>
      <c r="AS7" s="602" t="s">
        <v>18</v>
      </c>
    </row>
    <row r="8" spans="1:57" ht="15.75" customHeight="1" thickTop="1" x14ac:dyDescent="0.2">
      <c r="A8" s="5"/>
      <c r="B8" s="26">
        <v>1</v>
      </c>
      <c r="C8" s="1177" t="s">
        <v>20</v>
      </c>
      <c r="D8" s="27" t="s">
        <v>21</v>
      </c>
      <c r="E8" s="633">
        <v>205</v>
      </c>
      <c r="F8" s="634">
        <f>'Accounts 2010-11'!R16</f>
        <v>200.77</v>
      </c>
      <c r="G8" s="28">
        <v>210</v>
      </c>
      <c r="H8" s="478">
        <f>'Accounts 2011-12'!F46</f>
        <v>214.58</v>
      </c>
      <c r="I8" s="28">
        <v>225</v>
      </c>
      <c r="J8" s="478">
        <v>282.38</v>
      </c>
      <c r="K8" s="28">
        <v>289</v>
      </c>
      <c r="L8" s="478">
        <v>254.13</v>
      </c>
      <c r="M8" s="991"/>
      <c r="N8" s="28">
        <v>262</v>
      </c>
      <c r="O8" s="478">
        <v>254.14</v>
      </c>
      <c r="P8" s="28">
        <v>254.14</v>
      </c>
      <c r="Q8" s="991">
        <v>254.14</v>
      </c>
      <c r="R8" s="28">
        <v>254.14</v>
      </c>
      <c r="S8" s="30">
        <v>266.48</v>
      </c>
      <c r="T8" s="31">
        <f>'Accounts 2012-13'!F74</f>
        <v>0</v>
      </c>
      <c r="U8" s="32">
        <f>SUM(S8:T8)</f>
        <v>266.48</v>
      </c>
      <c r="V8" s="29"/>
      <c r="W8" s="33">
        <v>266.48</v>
      </c>
      <c r="X8" s="1051">
        <f>(W8-R8)/R8</f>
        <v>4.8555914063114949E-2</v>
      </c>
      <c r="Y8" s="1119">
        <v>275</v>
      </c>
      <c r="Z8" s="111"/>
      <c r="AA8"/>
      <c r="AB8" s="34"/>
      <c r="AC8" s="774">
        <v>2</v>
      </c>
      <c r="AD8" s="775" t="s">
        <v>253</v>
      </c>
      <c r="AE8" s="776"/>
      <c r="AF8" s="776"/>
      <c r="AG8" s="776"/>
      <c r="AH8" s="776"/>
      <c r="AI8" s="776"/>
      <c r="AJ8" s="777"/>
      <c r="AK8" s="778"/>
      <c r="AL8" s="778"/>
      <c r="AM8" s="778"/>
      <c r="AN8" s="779"/>
      <c r="AS8" s="603">
        <f>ROUND((($W8+$W8*AS$2)),0)</f>
        <v>273</v>
      </c>
      <c r="AU8" s="1042">
        <f>(W8-R8)/R8</f>
        <v>4.8555914063114949E-2</v>
      </c>
      <c r="AZ8" s="84">
        <f>W8</f>
        <v>266.48</v>
      </c>
    </row>
    <row r="9" spans="1:57" ht="16" x14ac:dyDescent="0.2">
      <c r="A9" s="5"/>
      <c r="B9" s="35">
        <f>B8+0.01</f>
        <v>1.01</v>
      </c>
      <c r="C9" s="1178"/>
      <c r="D9" s="36" t="s">
        <v>22</v>
      </c>
      <c r="E9" s="635">
        <v>65</v>
      </c>
      <c r="F9" s="636">
        <f>'Accounts 2010-11'!R15+'Accounts 2010-11'!R18</f>
        <v>93.75</v>
      </c>
      <c r="G9" s="37">
        <v>100</v>
      </c>
      <c r="H9" s="39">
        <f>'Accounts 2011-12'!F47</f>
        <v>95</v>
      </c>
      <c r="I9" s="37">
        <v>100</v>
      </c>
      <c r="J9" s="39">
        <v>95</v>
      </c>
      <c r="K9" s="37">
        <v>97</v>
      </c>
      <c r="L9" s="39">
        <v>35</v>
      </c>
      <c r="M9" s="992"/>
      <c r="N9" s="37">
        <v>36</v>
      </c>
      <c r="O9" s="39">
        <v>35</v>
      </c>
      <c r="P9" s="37">
        <v>36</v>
      </c>
      <c r="Q9" s="992">
        <v>42</v>
      </c>
      <c r="R9" s="37">
        <v>143</v>
      </c>
      <c r="S9" s="40">
        <v>0</v>
      </c>
      <c r="T9" s="41">
        <v>42</v>
      </c>
      <c r="U9" s="42">
        <f t="shared" ref="U9:U20" si="0">SUM(S9:T9)</f>
        <v>42</v>
      </c>
      <c r="V9" s="38" t="e">
        <f>#REF!</f>
        <v>#REF!</v>
      </c>
      <c r="W9" s="33">
        <f>ROUND(((U9+U9*W$2)),0)+100</f>
        <v>143</v>
      </c>
      <c r="X9" s="1051">
        <f>(R9-W9)/R9</f>
        <v>0</v>
      </c>
      <c r="Y9" s="1119">
        <v>120</v>
      </c>
      <c r="Z9" s="111"/>
      <c r="AA9"/>
      <c r="AB9" s="34" t="s">
        <v>23</v>
      </c>
      <c r="AC9" s="474">
        <v>1</v>
      </c>
      <c r="AD9" s="592" t="s">
        <v>319</v>
      </c>
      <c r="AE9" s="594"/>
      <c r="AF9" s="594"/>
      <c r="AG9" s="594"/>
      <c r="AH9" s="594"/>
      <c r="AI9" s="594"/>
      <c r="AJ9" s="13"/>
      <c r="AK9"/>
      <c r="AL9"/>
      <c r="AN9" s="5"/>
      <c r="AS9" s="603">
        <f>ROUND((($W9+$W9*AS$2)),0)</f>
        <v>147</v>
      </c>
      <c r="AU9" s="1042">
        <f>(W9-R9)/R9</f>
        <v>0</v>
      </c>
      <c r="AY9" s="84">
        <f>W9</f>
        <v>143</v>
      </c>
    </row>
    <row r="10" spans="1:57" ht="16" x14ac:dyDescent="0.2">
      <c r="A10" s="5"/>
      <c r="B10" s="35">
        <f t="shared" ref="B10:B20" si="1">B9+0.01</f>
        <v>1.02</v>
      </c>
      <c r="C10" s="1178"/>
      <c r="D10" s="36" t="s">
        <v>25</v>
      </c>
      <c r="E10" s="635">
        <v>210</v>
      </c>
      <c r="F10" s="636">
        <f>'Accounts 2010-11'!I35</f>
        <v>150</v>
      </c>
      <c r="G10" s="37">
        <v>200</v>
      </c>
      <c r="H10" s="39">
        <f>'Accounts 2011-12'!F48</f>
        <v>75</v>
      </c>
      <c r="I10" s="37">
        <v>75</v>
      </c>
      <c r="J10" s="39">
        <v>75</v>
      </c>
      <c r="K10" s="37">
        <v>125</v>
      </c>
      <c r="L10" s="39">
        <v>150</v>
      </c>
      <c r="M10" s="992"/>
      <c r="N10" s="37">
        <v>150</v>
      </c>
      <c r="O10" s="39">
        <v>200</v>
      </c>
      <c r="P10" s="37">
        <v>200</v>
      </c>
      <c r="Q10" s="992">
        <v>175</v>
      </c>
      <c r="R10" s="37">
        <v>200</v>
      </c>
      <c r="S10" s="40">
        <v>0</v>
      </c>
      <c r="T10" s="41">
        <v>175</v>
      </c>
      <c r="U10" s="42">
        <f t="shared" si="0"/>
        <v>175</v>
      </c>
      <c r="V10" s="38"/>
      <c r="W10" s="43">
        <v>200</v>
      </c>
      <c r="X10" s="1051">
        <f t="shared" ref="X10:X11" si="2">(R10-W10)/R10</f>
        <v>0</v>
      </c>
      <c r="Y10" s="1119">
        <v>200</v>
      </c>
      <c r="Z10" s="111"/>
      <c r="AA10"/>
      <c r="AB10" s="34"/>
      <c r="AC10" s="474">
        <v>2</v>
      </c>
      <c r="AD10" s="592" t="s">
        <v>322</v>
      </c>
      <c r="AE10" s="594"/>
      <c r="AF10" s="594"/>
      <c r="AG10" s="594"/>
      <c r="AH10" s="594"/>
      <c r="AI10" s="594"/>
      <c r="AJ10" s="13"/>
      <c r="AK10"/>
      <c r="AL10"/>
      <c r="AN10" s="5"/>
      <c r="AS10" s="604">
        <v>125</v>
      </c>
      <c r="AU10" s="1042">
        <f>(W10-R10)/R10</f>
        <v>0</v>
      </c>
      <c r="AV10" s="84">
        <f>W10</f>
        <v>200</v>
      </c>
    </row>
    <row r="11" spans="1:57" ht="16" x14ac:dyDescent="0.2">
      <c r="A11" s="5"/>
      <c r="B11" s="35">
        <f t="shared" si="1"/>
        <v>1.03</v>
      </c>
      <c r="C11" s="1178"/>
      <c r="D11" s="36" t="s">
        <v>24</v>
      </c>
      <c r="E11" s="635">
        <v>127.5</v>
      </c>
      <c r="F11" s="636">
        <f>'Accounts 2010-11'!N35</f>
        <v>375</v>
      </c>
      <c r="G11" s="37">
        <v>125</v>
      </c>
      <c r="H11" s="39">
        <f>'Accounts 2011-12'!F49</f>
        <v>125</v>
      </c>
      <c r="I11" s="37">
        <v>125</v>
      </c>
      <c r="J11" s="39">
        <v>125</v>
      </c>
      <c r="K11" s="37">
        <v>125</v>
      </c>
      <c r="L11" s="39">
        <v>125</v>
      </c>
      <c r="M11" s="992"/>
      <c r="N11" s="37">
        <v>125</v>
      </c>
      <c r="O11" s="39">
        <v>125</v>
      </c>
      <c r="P11" s="37">
        <v>125</v>
      </c>
      <c r="Q11" s="992">
        <v>125</v>
      </c>
      <c r="R11" s="37">
        <v>125</v>
      </c>
      <c r="S11" s="40">
        <v>0</v>
      </c>
      <c r="T11" s="41">
        <v>125</v>
      </c>
      <c r="U11" s="42">
        <f t="shared" si="0"/>
        <v>125</v>
      </c>
      <c r="V11" s="38"/>
      <c r="W11" s="33">
        <v>125</v>
      </c>
      <c r="X11" s="1051">
        <f t="shared" si="2"/>
        <v>0</v>
      </c>
      <c r="Y11" s="1119">
        <v>125</v>
      </c>
      <c r="Z11" s="111"/>
      <c r="AA11"/>
      <c r="AB11" s="34"/>
      <c r="AC11" s="474">
        <v>3</v>
      </c>
      <c r="AD11" s="592" t="s">
        <v>32</v>
      </c>
      <c r="AE11" s="594"/>
      <c r="AF11" s="594"/>
      <c r="AG11" s="594"/>
      <c r="AH11" s="594"/>
      <c r="AI11" s="594"/>
      <c r="AJ11" s="13"/>
      <c r="AK11" s="44"/>
      <c r="AL11"/>
      <c r="AN11" s="5"/>
      <c r="AS11" s="603">
        <v>125</v>
      </c>
      <c r="AU11" s="1042">
        <f>(W11-R11)/R11</f>
        <v>0</v>
      </c>
      <c r="BA11" s="84">
        <f>W11</f>
        <v>125</v>
      </c>
    </row>
    <row r="12" spans="1:57" ht="16" x14ac:dyDescent="0.2">
      <c r="A12" s="5"/>
      <c r="B12" s="35">
        <f t="shared" si="1"/>
        <v>1.04</v>
      </c>
      <c r="C12" s="1178"/>
      <c r="D12" s="36" t="s">
        <v>26</v>
      </c>
      <c r="E12" s="635">
        <f>'[1]Budget 2009-10'!E15</f>
        <v>0</v>
      </c>
      <c r="F12" s="636">
        <f>'Accounts 2010-11'!R22</f>
        <v>24</v>
      </c>
      <c r="G12" s="37">
        <v>0</v>
      </c>
      <c r="H12" s="39">
        <f>'Accounts 2011-12'!F50</f>
        <v>18</v>
      </c>
      <c r="I12" s="37">
        <f>'[1]Budget 2009-10'!I15</f>
        <v>0</v>
      </c>
      <c r="J12" s="39">
        <v>0</v>
      </c>
      <c r="K12" s="37">
        <v>0</v>
      </c>
      <c r="L12" s="39">
        <v>0</v>
      </c>
      <c r="M12" s="992"/>
      <c r="N12" s="37">
        <v>0</v>
      </c>
      <c r="O12" s="39"/>
      <c r="P12" s="37">
        <v>0</v>
      </c>
      <c r="Q12" s="992">
        <f>45+9</f>
        <v>54</v>
      </c>
      <c r="R12" s="37">
        <v>0</v>
      </c>
      <c r="S12" s="40">
        <v>0</v>
      </c>
      <c r="T12" s="41">
        <v>0</v>
      </c>
      <c r="U12" s="42">
        <f t="shared" si="0"/>
        <v>0</v>
      </c>
      <c r="V12" s="38" t="e">
        <f>#REF!</f>
        <v>#REF!</v>
      </c>
      <c r="W12" s="43">
        <f>2*54</f>
        <v>108</v>
      </c>
      <c r="X12" s="1051" t="s">
        <v>466</v>
      </c>
      <c r="Y12" s="1119"/>
      <c r="Z12" s="111"/>
      <c r="AA12"/>
      <c r="AB12" s="34" t="s">
        <v>23</v>
      </c>
      <c r="AC12" s="474">
        <v>4</v>
      </c>
      <c r="AD12" s="592" t="s">
        <v>255</v>
      </c>
      <c r="AE12" s="594"/>
      <c r="AF12" s="594"/>
      <c r="AG12" s="594"/>
      <c r="AH12" s="594"/>
      <c r="AI12" s="594"/>
      <c r="AJ12" s="13"/>
      <c r="AK12"/>
      <c r="AL12"/>
      <c r="AN12" s="5"/>
      <c r="AS12" s="604">
        <v>0</v>
      </c>
      <c r="AU12" s="1042" t="s">
        <v>466</v>
      </c>
      <c r="AY12" s="84">
        <f>W12</f>
        <v>108</v>
      </c>
    </row>
    <row r="13" spans="1:57" ht="16" x14ac:dyDescent="0.2">
      <c r="A13" s="5"/>
      <c r="B13" s="35">
        <f t="shared" si="1"/>
        <v>1.05</v>
      </c>
      <c r="C13" s="1178"/>
      <c r="D13" s="36" t="s">
        <v>27</v>
      </c>
      <c r="E13" s="635">
        <v>620</v>
      </c>
      <c r="F13" s="636">
        <f>'Accounts 2010-11'!J35</f>
        <v>834.39999999999986</v>
      </c>
      <c r="G13" s="37">
        <v>525</v>
      </c>
      <c r="H13" s="39">
        <f>'Accounts 2011-12'!F51</f>
        <v>500.64</v>
      </c>
      <c r="I13" s="37">
        <v>500</v>
      </c>
      <c r="J13" s="39">
        <v>500.64</v>
      </c>
      <c r="K13" s="37">
        <v>515</v>
      </c>
      <c r="L13" s="39">
        <v>505.68</v>
      </c>
      <c r="M13" s="992"/>
      <c r="N13" s="37">
        <v>510</v>
      </c>
      <c r="O13" s="39">
        <v>511.6</v>
      </c>
      <c r="P13" s="37">
        <v>515</v>
      </c>
      <c r="Q13" s="992">
        <v>1288.51</v>
      </c>
      <c r="R13" s="37">
        <v>1054</v>
      </c>
      <c r="S13" s="40">
        <v>516.78</v>
      </c>
      <c r="T13" s="41">
        <v>576.61</v>
      </c>
      <c r="U13" s="42">
        <f t="shared" si="0"/>
        <v>1093.3899999999999</v>
      </c>
      <c r="V13" s="38"/>
      <c r="W13" s="33">
        <v>1256.4000000000001</v>
      </c>
      <c r="X13" s="1051">
        <f>(W13-R13)/R13</f>
        <v>0.1920303605313094</v>
      </c>
      <c r="Y13" s="1119">
        <v>1256.4000000000001</v>
      </c>
      <c r="Z13" s="111"/>
      <c r="AA13"/>
      <c r="AB13" s="34"/>
      <c r="AC13" s="474">
        <v>5</v>
      </c>
      <c r="AD13" s="592" t="s">
        <v>320</v>
      </c>
      <c r="AE13" s="594"/>
      <c r="AF13" s="594"/>
      <c r="AG13" s="594"/>
      <c r="AH13" s="594"/>
      <c r="AI13" s="594"/>
      <c r="AJ13" s="13"/>
      <c r="AK13"/>
      <c r="AL13"/>
      <c r="AN13" s="5"/>
      <c r="AS13" s="603">
        <f>ROUND((($W13+$W13*AS$2)),0)</f>
        <v>1288</v>
      </c>
      <c r="AU13" s="1042">
        <f>(W13-R13)/R13</f>
        <v>0.1920303605313094</v>
      </c>
      <c r="AW13" s="84">
        <f>W13</f>
        <v>1256.4000000000001</v>
      </c>
      <c r="BD13" s="82">
        <f>(W13/2)/(W23-W13/2)</f>
        <v>0.28469525100042153</v>
      </c>
      <c r="BE13" t="s">
        <v>438</v>
      </c>
    </row>
    <row r="14" spans="1:57" ht="16" x14ac:dyDescent="0.2">
      <c r="A14" s="5"/>
      <c r="B14" s="35">
        <f t="shared" si="1"/>
        <v>1.06</v>
      </c>
      <c r="C14" s="1178"/>
      <c r="D14" s="36" t="s">
        <v>28</v>
      </c>
      <c r="E14" s="635">
        <v>110</v>
      </c>
      <c r="F14" s="636">
        <f>'Accounts 2010-11'!K7+'Accounts 2010-11'!Q7+'Accounts 2010-11'!K19+'Accounts 2010-11'!Q19+'Accounts 2010-11'!K21+'Accounts 2010-11'!Q21</f>
        <v>348.82000000000005</v>
      </c>
      <c r="G14" s="37">
        <v>211</v>
      </c>
      <c r="H14" s="39">
        <f>'Accounts 2011-12'!F52</f>
        <v>287.39999999999998</v>
      </c>
      <c r="I14" s="37">
        <v>262</v>
      </c>
      <c r="J14" s="39">
        <v>296.39999999999998</v>
      </c>
      <c r="K14" s="37">
        <v>282</v>
      </c>
      <c r="L14" s="39">
        <v>321.51</v>
      </c>
      <c r="M14" s="992"/>
      <c r="N14" s="37">
        <v>309</v>
      </c>
      <c r="O14" s="39">
        <v>325.06</v>
      </c>
      <c r="P14" s="37">
        <v>300</v>
      </c>
      <c r="Q14" s="992">
        <v>136.05000000000001</v>
      </c>
      <c r="R14" s="37">
        <v>300</v>
      </c>
      <c r="S14" s="40">
        <f>168.3+143.25</f>
        <v>311.55</v>
      </c>
      <c r="T14" s="41">
        <v>193.85</v>
      </c>
      <c r="U14" s="42">
        <f t="shared" si="0"/>
        <v>505.4</v>
      </c>
      <c r="V14" s="38"/>
      <c r="W14" s="33">
        <v>465</v>
      </c>
      <c r="X14" s="1051">
        <f t="shared" ref="X14:X19" si="3">(W14-R14)/R14</f>
        <v>0.55000000000000004</v>
      </c>
      <c r="Y14" s="1119">
        <v>150</v>
      </c>
      <c r="Z14" s="111"/>
      <c r="AA14"/>
      <c r="AB14" s="34" t="s">
        <v>23</v>
      </c>
      <c r="AC14" s="474">
        <v>6</v>
      </c>
      <c r="AD14" s="592" t="s">
        <v>321</v>
      </c>
      <c r="AE14" s="594"/>
      <c r="AF14" s="594"/>
      <c r="AG14" s="594"/>
      <c r="AH14" s="594"/>
      <c r="AI14" s="594"/>
      <c r="AJ14" s="13"/>
      <c r="AK14"/>
      <c r="AL14"/>
      <c r="AN14" s="5"/>
      <c r="AS14" s="603">
        <f>ROUND((20*11+2*30)*0.45+52*3,0)</f>
        <v>282</v>
      </c>
      <c r="AU14" s="1042">
        <f>(W14-R14)/R14</f>
        <v>0.55000000000000004</v>
      </c>
      <c r="AX14" s="84">
        <f>W14</f>
        <v>465</v>
      </c>
    </row>
    <row r="15" spans="1:57" ht="16" x14ac:dyDescent="0.2">
      <c r="A15" s="5"/>
      <c r="B15" s="35">
        <f t="shared" si="1"/>
        <v>1.07</v>
      </c>
      <c r="C15" s="1178"/>
      <c r="D15" s="36" t="s">
        <v>452</v>
      </c>
      <c r="E15" s="635">
        <v>30</v>
      </c>
      <c r="F15" s="636">
        <f>'Accounts 2010-11'!R9+'Accounts 2010-11'!R23</f>
        <v>50</v>
      </c>
      <c r="G15" s="37">
        <v>27</v>
      </c>
      <c r="H15" s="39">
        <f>'Accounts 2011-12'!F53</f>
        <v>25</v>
      </c>
      <c r="I15" s="37">
        <v>28</v>
      </c>
      <c r="J15" s="39">
        <v>30</v>
      </c>
      <c r="K15" s="37">
        <v>26</v>
      </c>
      <c r="L15" s="39">
        <v>0</v>
      </c>
      <c r="M15" s="992"/>
      <c r="N15" s="37">
        <v>37</v>
      </c>
      <c r="O15" s="39">
        <v>30</v>
      </c>
      <c r="P15" s="37">
        <v>31</v>
      </c>
      <c r="Q15" s="992">
        <v>30</v>
      </c>
      <c r="R15" s="37">
        <v>31</v>
      </c>
      <c r="S15" s="40">
        <v>0</v>
      </c>
      <c r="T15" s="41">
        <v>0</v>
      </c>
      <c r="U15" s="42">
        <f t="shared" si="0"/>
        <v>0</v>
      </c>
      <c r="V15" s="38"/>
      <c r="W15" s="33">
        <v>31</v>
      </c>
      <c r="X15" s="1051">
        <f t="shared" si="3"/>
        <v>0</v>
      </c>
      <c r="Y15" s="1119"/>
      <c r="Z15" s="111"/>
      <c r="AA15"/>
      <c r="AB15" s="34"/>
      <c r="AC15" s="474">
        <v>1</v>
      </c>
      <c r="AD15" s="592" t="s">
        <v>319</v>
      </c>
      <c r="AE15" s="594"/>
      <c r="AF15" s="594"/>
      <c r="AG15" s="594"/>
      <c r="AH15" s="594"/>
      <c r="AI15" s="594"/>
      <c r="AJ15" s="13"/>
      <c r="AK15"/>
      <c r="AL15"/>
      <c r="AN15" s="5"/>
      <c r="AS15" s="603">
        <f>ROUND((($W15+$W15*AS$2)),0)</f>
        <v>32</v>
      </c>
      <c r="AU15" s="1042">
        <f>(W15-R15)/R15</f>
        <v>0</v>
      </c>
      <c r="AZ15" s="84">
        <f>W15</f>
        <v>31</v>
      </c>
    </row>
    <row r="16" spans="1:57" ht="16" x14ac:dyDescent="0.2">
      <c r="A16" s="5"/>
      <c r="B16" s="35">
        <f t="shared" si="1"/>
        <v>1.08</v>
      </c>
      <c r="C16" s="1178"/>
      <c r="D16" s="36" t="s">
        <v>29</v>
      </c>
      <c r="E16" s="635">
        <v>110</v>
      </c>
      <c r="F16" s="636">
        <f>'Accounts 2010-11'!R10</f>
        <v>108</v>
      </c>
      <c r="G16" s="37">
        <v>111</v>
      </c>
      <c r="H16" s="39">
        <f>'Accounts 2011-12'!F54</f>
        <v>111</v>
      </c>
      <c r="I16" s="37">
        <v>122</v>
      </c>
      <c r="J16" s="39">
        <v>114</v>
      </c>
      <c r="K16" s="37">
        <v>117</v>
      </c>
      <c r="L16" s="39">
        <v>117</v>
      </c>
      <c r="M16" s="992"/>
      <c r="N16" s="37">
        <v>121</v>
      </c>
      <c r="O16" s="39">
        <v>120</v>
      </c>
      <c r="P16" s="37">
        <v>124</v>
      </c>
      <c r="Q16" s="992">
        <v>123</v>
      </c>
      <c r="R16" s="37">
        <v>126</v>
      </c>
      <c r="S16" s="40">
        <v>127.21</v>
      </c>
      <c r="T16" s="41">
        <f>'Accounts 2012-13'!F82</f>
        <v>0</v>
      </c>
      <c r="U16" s="42">
        <f t="shared" si="0"/>
        <v>127.21</v>
      </c>
      <c r="V16" s="38"/>
      <c r="W16" s="33">
        <v>130.88999999999999</v>
      </c>
      <c r="X16" s="1051">
        <f>(W16-R16)/R16</f>
        <v>3.8809523809523704E-2</v>
      </c>
      <c r="Y16" s="1119">
        <v>135</v>
      </c>
      <c r="Z16" s="111"/>
      <c r="AA16"/>
      <c r="AB16" s="34"/>
      <c r="AC16" s="474">
        <v>1</v>
      </c>
      <c r="AD16" s="592" t="s">
        <v>319</v>
      </c>
      <c r="AE16" s="594"/>
      <c r="AF16" s="594"/>
      <c r="AG16" s="594"/>
      <c r="AH16" s="594"/>
      <c r="AI16" s="594"/>
      <c r="AJ16" s="13"/>
      <c r="AK16"/>
      <c r="AL16"/>
      <c r="AM16" s="138"/>
      <c r="AN16" s="494"/>
      <c r="AS16" s="603">
        <f>ROUND((($W16+$W16*AS$2)),0)</f>
        <v>134</v>
      </c>
      <c r="AU16" s="1042">
        <f>(W16-R16)/R16</f>
        <v>3.8809523809523704E-2</v>
      </c>
      <c r="AZ16" s="84">
        <f>W16</f>
        <v>130.88999999999999</v>
      </c>
    </row>
    <row r="17" spans="1:56" ht="16" x14ac:dyDescent="0.2">
      <c r="A17" s="5"/>
      <c r="B17" s="35">
        <f t="shared" si="1"/>
        <v>1.0900000000000001</v>
      </c>
      <c r="C17" s="1178"/>
      <c r="D17" s="36" t="s">
        <v>30</v>
      </c>
      <c r="E17" s="635">
        <f>'[1]Budget 2009-10'!E21</f>
        <v>0</v>
      </c>
      <c r="F17" s="636">
        <v>0</v>
      </c>
      <c r="G17" s="37">
        <v>87.5</v>
      </c>
      <c r="H17" s="39">
        <f>'Accounts 2011-12'!F55</f>
        <v>87.5</v>
      </c>
      <c r="I17" s="37">
        <v>0</v>
      </c>
      <c r="J17" s="39">
        <v>0</v>
      </c>
      <c r="K17" s="37">
        <v>0</v>
      </c>
      <c r="L17" s="39">
        <v>0</v>
      </c>
      <c r="M17" s="992"/>
      <c r="N17" s="37">
        <v>0</v>
      </c>
      <c r="O17" s="39">
        <v>0</v>
      </c>
      <c r="P17" s="37">
        <v>87</v>
      </c>
      <c r="Q17" s="992">
        <v>87.5</v>
      </c>
      <c r="R17" s="37">
        <v>0</v>
      </c>
      <c r="S17" s="40">
        <v>0</v>
      </c>
      <c r="T17" s="41">
        <f>'Accounts 2012-13'!F83</f>
        <v>0</v>
      </c>
      <c r="U17" s="42">
        <f t="shared" si="0"/>
        <v>0</v>
      </c>
      <c r="V17" s="38"/>
      <c r="W17" s="43">
        <v>0</v>
      </c>
      <c r="X17" s="1054" t="s">
        <v>467</v>
      </c>
      <c r="Y17" s="1119"/>
      <c r="Z17" s="111"/>
      <c r="AA17"/>
      <c r="AB17" s="34"/>
      <c r="AC17" s="474">
        <v>7</v>
      </c>
      <c r="AD17" s="592" t="s">
        <v>254</v>
      </c>
      <c r="AE17" s="594"/>
      <c r="AF17" s="594"/>
      <c r="AG17" s="594"/>
      <c r="AH17" s="594"/>
      <c r="AI17" s="594"/>
      <c r="AJ17" s="13"/>
      <c r="AK17"/>
      <c r="AL17"/>
      <c r="AN17" s="5"/>
      <c r="AS17" s="603">
        <f>ROUND((($W17+$W17*AS$2)),0)</f>
        <v>0</v>
      </c>
      <c r="AU17" s="1043" t="s">
        <v>467</v>
      </c>
      <c r="AY17" s="84">
        <f>W17</f>
        <v>0</v>
      </c>
    </row>
    <row r="18" spans="1:56" ht="16" x14ac:dyDescent="0.2">
      <c r="A18" s="5"/>
      <c r="B18" s="35">
        <f t="shared" si="1"/>
        <v>1.1000000000000001</v>
      </c>
      <c r="C18" s="1178"/>
      <c r="D18" s="36" t="s">
        <v>31</v>
      </c>
      <c r="E18" s="635">
        <v>16</v>
      </c>
      <c r="F18" s="636">
        <v>0</v>
      </c>
      <c r="G18" s="37">
        <v>16</v>
      </c>
      <c r="H18" s="39">
        <f>'Accounts 2011-12'!F56</f>
        <v>0</v>
      </c>
      <c r="I18" s="37">
        <v>16</v>
      </c>
      <c r="J18" s="39">
        <v>0</v>
      </c>
      <c r="K18" s="37">
        <v>16</v>
      </c>
      <c r="L18" s="39">
        <v>20</v>
      </c>
      <c r="M18" s="992"/>
      <c r="N18" s="37">
        <v>16</v>
      </c>
      <c r="O18" s="39">
        <v>0</v>
      </c>
      <c r="P18" s="37">
        <v>20</v>
      </c>
      <c r="Q18" s="992">
        <v>0</v>
      </c>
      <c r="R18" s="37">
        <v>20</v>
      </c>
      <c r="S18" s="40">
        <f>'Accounts 2012-13'!F63</f>
        <v>0</v>
      </c>
      <c r="T18" s="41">
        <v>0</v>
      </c>
      <c r="U18" s="42">
        <f t="shared" si="0"/>
        <v>0</v>
      </c>
      <c r="V18" s="38"/>
      <c r="W18" s="43">
        <v>20</v>
      </c>
      <c r="X18" s="1051">
        <f t="shared" si="3"/>
        <v>0</v>
      </c>
      <c r="Y18" s="1119">
        <v>20</v>
      </c>
      <c r="Z18" s="111"/>
      <c r="AA18"/>
      <c r="AB18" s="34" t="s">
        <v>23</v>
      </c>
      <c r="AC18" s="474">
        <v>3</v>
      </c>
      <c r="AD18" s="592" t="s">
        <v>32</v>
      </c>
      <c r="AE18" s="594"/>
      <c r="AF18" s="594"/>
      <c r="AG18" s="594"/>
      <c r="AH18" s="594"/>
      <c r="AI18" s="594"/>
      <c r="AJ18" s="13"/>
      <c r="AK18"/>
      <c r="AL18"/>
      <c r="AN18" s="5"/>
      <c r="AS18" s="604">
        <v>16</v>
      </c>
      <c r="AU18" s="1042">
        <f>(W18-R18)/R18</f>
        <v>0</v>
      </c>
      <c r="BB18" s="84">
        <f>W18</f>
        <v>20</v>
      </c>
    </row>
    <row r="19" spans="1:56" ht="16" x14ac:dyDescent="0.2">
      <c r="A19" s="5"/>
      <c r="B19" s="35">
        <f t="shared" si="1"/>
        <v>1.1100000000000001</v>
      </c>
      <c r="C19" s="1178"/>
      <c r="D19" s="36" t="s">
        <v>198</v>
      </c>
      <c r="E19" s="639"/>
      <c r="F19" s="640"/>
      <c r="G19" s="37">
        <v>0</v>
      </c>
      <c r="H19" s="39">
        <f>'Accounts 2011-12'!F58</f>
        <v>25</v>
      </c>
      <c r="I19" s="37">
        <v>27</v>
      </c>
      <c r="J19" s="39">
        <v>25</v>
      </c>
      <c r="K19" s="37">
        <v>28</v>
      </c>
      <c r="L19" s="39">
        <v>28</v>
      </c>
      <c r="M19" s="992"/>
      <c r="N19" s="37">
        <v>29</v>
      </c>
      <c r="O19" s="39">
        <v>28</v>
      </c>
      <c r="P19" s="37">
        <v>29</v>
      </c>
      <c r="Q19" s="992">
        <v>28</v>
      </c>
      <c r="R19" s="37">
        <v>29</v>
      </c>
      <c r="S19" s="40">
        <v>28</v>
      </c>
      <c r="T19" s="41">
        <f>'Accounts 2012-13'!F86</f>
        <v>0</v>
      </c>
      <c r="U19" s="42">
        <f t="shared" si="0"/>
        <v>28</v>
      </c>
      <c r="V19" s="38"/>
      <c r="W19" s="33">
        <f>ROUNDUP(((U19+U19*W$2)),0)</f>
        <v>29</v>
      </c>
      <c r="X19" s="1051">
        <f t="shared" si="3"/>
        <v>0</v>
      </c>
      <c r="Y19" s="1119">
        <v>48</v>
      </c>
      <c r="Z19" s="111"/>
      <c r="AA19"/>
      <c r="AB19" s="34"/>
      <c r="AC19" s="474">
        <v>1</v>
      </c>
      <c r="AD19" s="592" t="s">
        <v>319</v>
      </c>
      <c r="AE19" s="594"/>
      <c r="AF19" s="594"/>
      <c r="AG19" s="594"/>
      <c r="AH19" s="594"/>
      <c r="AI19" s="594"/>
      <c r="AJ19" s="13"/>
      <c r="AK19"/>
      <c r="AL19"/>
      <c r="AM19" s="138"/>
      <c r="AN19" s="5"/>
      <c r="AS19" s="604">
        <v>28</v>
      </c>
      <c r="AU19" s="1042">
        <f>(W19-R19)/R19</f>
        <v>0</v>
      </c>
      <c r="AY19" s="84">
        <f>W19</f>
        <v>29</v>
      </c>
    </row>
    <row r="20" spans="1:56" ht="17" hidden="1" thickBot="1" x14ac:dyDescent="0.25">
      <c r="A20" s="5"/>
      <c r="B20" s="934">
        <f t="shared" si="1"/>
        <v>1.1200000000000001</v>
      </c>
      <c r="C20" s="1178"/>
      <c r="D20" s="36" t="s">
        <v>251</v>
      </c>
      <c r="E20" s="641"/>
      <c r="F20" s="642"/>
      <c r="G20" s="800"/>
      <c r="H20" s="801"/>
      <c r="I20" s="37">
        <v>0</v>
      </c>
      <c r="J20" s="39">
        <v>500</v>
      </c>
      <c r="K20" s="37">
        <v>0</v>
      </c>
      <c r="L20" s="39">
        <v>0</v>
      </c>
      <c r="M20" s="992"/>
      <c r="N20" s="37">
        <v>0</v>
      </c>
      <c r="O20" s="39">
        <v>0</v>
      </c>
      <c r="P20" s="37">
        <v>0</v>
      </c>
      <c r="Q20" s="992"/>
      <c r="R20" s="37">
        <v>0</v>
      </c>
      <c r="S20" s="40">
        <v>0</v>
      </c>
      <c r="T20" s="41">
        <v>0</v>
      </c>
      <c r="U20" s="42">
        <f t="shared" si="0"/>
        <v>0</v>
      </c>
      <c r="V20" s="38"/>
      <c r="W20" s="43">
        <v>0</v>
      </c>
      <c r="X20" s="1052"/>
      <c r="Y20" s="1119"/>
      <c r="Z20" s="111"/>
      <c r="AA20"/>
      <c r="AB20" s="34"/>
      <c r="AC20" s="474">
        <v>4</v>
      </c>
      <c r="AD20" s="592" t="s">
        <v>255</v>
      </c>
      <c r="AE20" s="594"/>
      <c r="AF20" s="594"/>
      <c r="AG20" s="594"/>
      <c r="AH20" s="594"/>
      <c r="AI20" s="594"/>
      <c r="AJ20" s="13"/>
      <c r="AK20"/>
      <c r="AL20"/>
      <c r="AN20" s="5"/>
      <c r="AS20" s="605">
        <v>0</v>
      </c>
      <c r="AU20" s="1042" t="e">
        <f>(W20-R20)/R20</f>
        <v>#DIV/0!</v>
      </c>
      <c r="AY20" s="84">
        <f>W20</f>
        <v>0</v>
      </c>
    </row>
    <row r="21" spans="1:56" ht="16" x14ac:dyDescent="0.2">
      <c r="A21" s="5"/>
      <c r="B21" s="35">
        <f>B19+0.01</f>
        <v>1.1200000000000001</v>
      </c>
      <c r="C21" s="1178"/>
      <c r="D21" s="36" t="s">
        <v>453</v>
      </c>
      <c r="E21" s="1013"/>
      <c r="F21" s="1014"/>
      <c r="G21" s="800"/>
      <c r="H21" s="801"/>
      <c r="I21" s="800"/>
      <c r="J21" s="1015"/>
      <c r="K21" s="800"/>
      <c r="L21" s="1015"/>
      <c r="M21" s="1024"/>
      <c r="N21" s="800"/>
      <c r="O21" s="1015"/>
      <c r="P21" s="800"/>
      <c r="Q21" s="1015"/>
      <c r="R21" s="37">
        <v>0</v>
      </c>
      <c r="S21" s="40">
        <v>0</v>
      </c>
      <c r="T21" s="41">
        <v>60</v>
      </c>
      <c r="U21" s="42">
        <f>SUM(S21:T21)</f>
        <v>60</v>
      </c>
      <c r="V21" s="38"/>
      <c r="W21" s="43">
        <v>60</v>
      </c>
      <c r="X21" s="1052" t="s">
        <v>466</v>
      </c>
      <c r="Y21" s="1119">
        <v>60</v>
      </c>
      <c r="Z21" s="111"/>
      <c r="AA21"/>
      <c r="AB21" s="34" t="s">
        <v>23</v>
      </c>
      <c r="AC21" s="474">
        <v>8</v>
      </c>
      <c r="AD21" s="592" t="s">
        <v>330</v>
      </c>
      <c r="AE21" s="594"/>
      <c r="AF21" s="594"/>
      <c r="AG21" s="594"/>
      <c r="AH21" s="594"/>
      <c r="AI21" s="594"/>
      <c r="AJ21" s="13"/>
      <c r="AK21"/>
      <c r="AL21"/>
      <c r="AN21" s="5"/>
      <c r="AS21" s="799"/>
      <c r="AU21" s="1042" t="s">
        <v>466</v>
      </c>
      <c r="AY21" s="84">
        <f>W21</f>
        <v>60</v>
      </c>
    </row>
    <row r="22" spans="1:56" ht="17" thickBot="1" x14ac:dyDescent="0.25">
      <c r="A22" s="5"/>
      <c r="B22" s="117">
        <f>B21+0.01</f>
        <v>1.1300000000000001</v>
      </c>
      <c r="C22" s="1178"/>
      <c r="D22" s="1004" t="s">
        <v>331</v>
      </c>
      <c r="E22" s="797"/>
      <c r="F22" s="798"/>
      <c r="G22" s="1005"/>
      <c r="H22" s="1006"/>
      <c r="I22" s="1005"/>
      <c r="J22" s="1007"/>
      <c r="K22" s="1005"/>
      <c r="L22" s="1007"/>
      <c r="M22" s="1025"/>
      <c r="N22" s="1005"/>
      <c r="O22" s="1007"/>
      <c r="P22" s="1005"/>
      <c r="Q22" s="1007"/>
      <c r="R22" s="1008">
        <v>0</v>
      </c>
      <c r="S22" s="1009">
        <v>0</v>
      </c>
      <c r="T22" s="1010">
        <v>0</v>
      </c>
      <c r="U22" s="1011">
        <v>0</v>
      </c>
      <c r="V22" s="1012"/>
      <c r="W22" s="1016"/>
      <c r="X22" s="1053"/>
      <c r="Y22" s="1120">
        <v>500</v>
      </c>
      <c r="Z22" s="111"/>
      <c r="AA22"/>
      <c r="AB22" s="34"/>
      <c r="AC22" s="474"/>
      <c r="AD22" s="592"/>
      <c r="AE22" s="594"/>
      <c r="AF22" s="594"/>
      <c r="AG22" s="594"/>
      <c r="AH22" s="594"/>
      <c r="AI22" s="594"/>
      <c r="AJ22" s="13"/>
      <c r="AK22"/>
      <c r="AL22"/>
      <c r="AN22" s="5"/>
      <c r="AS22" s="799"/>
      <c r="AU22" s="1042" t="s">
        <v>468</v>
      </c>
    </row>
    <row r="23" spans="1:56" ht="16" thickBot="1" x14ac:dyDescent="0.25">
      <c r="A23" s="5"/>
      <c r="B23" s="45">
        <v>1.2</v>
      </c>
      <c r="C23" s="1179"/>
      <c r="D23" s="46" t="s">
        <v>34</v>
      </c>
      <c r="E23" s="643">
        <f t="shared" ref="E23:T23" si="4">SUM(E8:E20)</f>
        <v>1493.5</v>
      </c>
      <c r="F23" s="644">
        <f t="shared" si="4"/>
        <v>2184.7399999999998</v>
      </c>
      <c r="G23" s="48">
        <f t="shared" si="4"/>
        <v>1612.5</v>
      </c>
      <c r="H23" s="47">
        <f t="shared" si="4"/>
        <v>1564.12</v>
      </c>
      <c r="I23" s="48">
        <f t="shared" si="4"/>
        <v>1480</v>
      </c>
      <c r="J23" s="47">
        <f t="shared" si="4"/>
        <v>2043.42</v>
      </c>
      <c r="K23" s="48">
        <f t="shared" ref="K23" si="5">SUM(K8:K20)</f>
        <v>1620</v>
      </c>
      <c r="L23" s="47">
        <f>SUM(L8:L21)</f>
        <v>1556.32</v>
      </c>
      <c r="M23" s="993"/>
      <c r="N23" s="48">
        <f t="shared" ref="N23" si="6">SUM(N8:N20)</f>
        <v>1595</v>
      </c>
      <c r="O23" s="47">
        <f>SUM(O8:O21)</f>
        <v>1628.8</v>
      </c>
      <c r="P23" s="48">
        <f>SUM(P8:P21)</f>
        <v>1721.1399999999999</v>
      </c>
      <c r="Q23" s="993">
        <f>SUM(Q8:Q21)</f>
        <v>2343.2000000000003</v>
      </c>
      <c r="R23" s="48">
        <f>SUM(R8:R22)</f>
        <v>2282.14</v>
      </c>
      <c r="S23" s="49">
        <f>SUM(S8:S22)</f>
        <v>1250.02</v>
      </c>
      <c r="T23" s="50">
        <f t="shared" si="4"/>
        <v>1112.46</v>
      </c>
      <c r="U23" s="51">
        <f>SUM(U8:U22)</f>
        <v>2422.48</v>
      </c>
      <c r="V23" s="52" t="e">
        <f>SUM(V8:V18)</f>
        <v>#REF!</v>
      </c>
      <c r="W23" s="53">
        <f>SUM(W8:W21)</f>
        <v>2834.77</v>
      </c>
      <c r="X23" s="53">
        <f t="shared" ref="X23" si="7">SUM(X8:X21)</f>
        <v>0.82939579840394806</v>
      </c>
      <c r="Y23" s="1103">
        <f>SUM(Y8:Y22)</f>
        <v>2889.4</v>
      </c>
      <c r="Z23" s="111"/>
      <c r="AA23"/>
      <c r="AC23" s="473"/>
      <c r="AD23" s="54"/>
      <c r="AE23" s="4"/>
      <c r="AF23" s="4"/>
      <c r="AG23" s="4"/>
      <c r="AH23" s="4"/>
      <c r="AI23" s="4"/>
      <c r="AK23"/>
      <c r="AL23"/>
      <c r="AS23" s="606">
        <f>SUM(AS8:AS20)</f>
        <v>2450</v>
      </c>
      <c r="AU23" s="1042">
        <f>(W23-R23)/R23</f>
        <v>0.24215429377689368</v>
      </c>
      <c r="AV23" s="803">
        <f>SUM(AV8:AV22)</f>
        <v>200</v>
      </c>
      <c r="AW23" s="803">
        <f t="shared" ref="AW23:BB23" si="8">SUM(AW8:AW22)</f>
        <v>1256.4000000000001</v>
      </c>
      <c r="AX23" s="803">
        <f t="shared" si="8"/>
        <v>465</v>
      </c>
      <c r="AY23" s="803">
        <f t="shared" si="8"/>
        <v>340</v>
      </c>
      <c r="AZ23" s="803">
        <f t="shared" si="8"/>
        <v>428.37</v>
      </c>
      <c r="BA23" s="803">
        <f t="shared" si="8"/>
        <v>125</v>
      </c>
      <c r="BB23" s="803">
        <f t="shared" si="8"/>
        <v>20</v>
      </c>
      <c r="BC23" s="804">
        <f>SUM(AV23:BB23)</f>
        <v>2834.77</v>
      </c>
      <c r="BD23" s="82"/>
    </row>
    <row r="24" spans="1:56" ht="16" thickTop="1" x14ac:dyDescent="0.2">
      <c r="A24" s="5"/>
      <c r="B24" s="55">
        <v>2</v>
      </c>
      <c r="C24" s="1180" t="s">
        <v>35</v>
      </c>
      <c r="D24" s="56" t="s">
        <v>36</v>
      </c>
      <c r="E24" s="645"/>
      <c r="F24" s="646">
        <f>IF(F23&gt;E23,F23-E23,"")</f>
        <v>691.23999999999978</v>
      </c>
      <c r="G24" s="58"/>
      <c r="H24" s="57" t="str">
        <f>IF(H23&gt;G23,H23-G23,"")</f>
        <v/>
      </c>
      <c r="I24" s="58"/>
      <c r="J24" s="57">
        <f>IF(J23&gt;I23,J23-I23,"")</f>
        <v>563.42000000000007</v>
      </c>
      <c r="K24" s="58"/>
      <c r="L24" s="57" t="str">
        <f>IF(L23&gt;K23,L23-K23,"")</f>
        <v/>
      </c>
      <c r="M24" s="1034"/>
      <c r="N24" s="58"/>
      <c r="O24" s="57">
        <f>IF(O23&gt;N23,O23-N23,"")</f>
        <v>33.799999999999955</v>
      </c>
      <c r="P24" s="58"/>
      <c r="Q24" s="57">
        <f>IF(Q23&gt;P23,Q23-P23,"")</f>
        <v>622.0600000000004</v>
      </c>
      <c r="R24" s="58"/>
      <c r="S24" s="59"/>
      <c r="T24" s="60"/>
      <c r="U24" s="61">
        <f>IF(U23&gt;R23,U23-R23,"")</f>
        <v>140.34000000000015</v>
      </c>
      <c r="V24" s="62"/>
      <c r="W24" s="1045"/>
      <c r="X24" s="1049"/>
      <c r="Y24" s="1104"/>
      <c r="Z24" s="111"/>
      <c r="AA24"/>
      <c r="AC24" s="473"/>
      <c r="AD24" s="4"/>
      <c r="AE24" s="4"/>
      <c r="AF24" s="4"/>
      <c r="AG24" s="4"/>
      <c r="AH24" s="4"/>
      <c r="AI24" s="4"/>
      <c r="AK24"/>
      <c r="AL24"/>
      <c r="AS24" s="607"/>
      <c r="AU24" s="1019"/>
    </row>
    <row r="25" spans="1:56" x14ac:dyDescent="0.2">
      <c r="A25" s="5"/>
      <c r="B25" s="35">
        <f>B24+0.01</f>
        <v>2.0099999999999998</v>
      </c>
      <c r="C25" s="1181"/>
      <c r="D25" s="63" t="s">
        <v>37</v>
      </c>
      <c r="E25" s="647"/>
      <c r="F25" s="648" t="str">
        <f>IF(F23&lt;E23,E23-F23,"")</f>
        <v/>
      </c>
      <c r="G25" s="65"/>
      <c r="H25" s="64">
        <f>IF(H23&lt;G23,G23-H23,"")</f>
        <v>48.380000000000109</v>
      </c>
      <c r="I25" s="65"/>
      <c r="J25" s="64" t="str">
        <f>IF(J23&lt;I23,I23-J23,"")</f>
        <v/>
      </c>
      <c r="K25" s="65"/>
      <c r="L25" s="64">
        <f>IF(L23&lt;K23,K23-L23,"")</f>
        <v>63.680000000000064</v>
      </c>
      <c r="M25" s="994"/>
      <c r="N25" s="65"/>
      <c r="O25" s="64" t="str">
        <f>IF(O23&lt;N23,N23-O23,"")</f>
        <v/>
      </c>
      <c r="P25" s="65"/>
      <c r="Q25" s="994"/>
      <c r="R25" s="65"/>
      <c r="S25" s="66"/>
      <c r="T25" s="67"/>
      <c r="U25" s="68" t="str">
        <f>IF(U23&lt;R23,R23-U23,"")</f>
        <v/>
      </c>
      <c r="V25" s="69"/>
      <c r="W25" s="1046"/>
      <c r="X25" s="1050"/>
      <c r="Y25" s="1105"/>
      <c r="Z25" s="111"/>
      <c r="AA25"/>
      <c r="AC25" s="473"/>
      <c r="AD25" s="4"/>
      <c r="AE25" s="4"/>
      <c r="AF25" s="4"/>
      <c r="AG25" s="4"/>
      <c r="AH25" s="4"/>
      <c r="AI25" s="4"/>
      <c r="AK25"/>
      <c r="AL25"/>
      <c r="AS25" s="608"/>
      <c r="AU25" s="1019"/>
    </row>
    <row r="26" spans="1:56" x14ac:dyDescent="0.2">
      <c r="A26" s="5"/>
      <c r="B26" s="35">
        <f>B25+0.01</f>
        <v>2.0199999999999996</v>
      </c>
      <c r="C26" s="1181"/>
      <c r="D26" s="70" t="s">
        <v>38</v>
      </c>
      <c r="E26" s="649">
        <f>(E23-1445)/1445</f>
        <v>3.3564013840830451E-2</v>
      </c>
      <c r="F26" s="650"/>
      <c r="G26" s="72">
        <f>(G23-E23)/E23</f>
        <v>7.9678607298292597E-2</v>
      </c>
      <c r="H26" s="71"/>
      <c r="I26" s="72">
        <f>(I23-G23)/G23</f>
        <v>-8.2170542635658914E-2</v>
      </c>
      <c r="J26" s="73"/>
      <c r="K26" s="72">
        <f>(K23-I23)/I23</f>
        <v>9.45945945945946E-2</v>
      </c>
      <c r="L26" s="73"/>
      <c r="M26" s="1035"/>
      <c r="N26" s="996">
        <f>(N23-K23)/K23</f>
        <v>-1.5432098765432098E-2</v>
      </c>
      <c r="O26" s="997"/>
      <c r="P26" s="996">
        <f>(P23-N23)/N23</f>
        <v>7.9084639498432516E-2</v>
      </c>
      <c r="Q26" s="998"/>
      <c r="R26" s="996">
        <f>(R23-P23)/P23</f>
        <v>0.32594675621971486</v>
      </c>
      <c r="S26" s="999"/>
      <c r="T26" s="997"/>
      <c r="U26" s="1000"/>
      <c r="V26" s="1000"/>
      <c r="W26" s="1047">
        <f>(W23-R23)/R23</f>
        <v>0.24215429377689368</v>
      </c>
      <c r="X26" s="1050"/>
      <c r="Y26" s="1106"/>
      <c r="Z26" s="111"/>
      <c r="AA26"/>
      <c r="AC26" s="473"/>
      <c r="AD26" s="4"/>
      <c r="AE26" s="4"/>
      <c r="AF26" s="4"/>
      <c r="AG26" s="4"/>
      <c r="AH26" s="4"/>
      <c r="AI26" s="4"/>
      <c r="AK26"/>
      <c r="AL26"/>
      <c r="AS26" s="609">
        <f>(AS23-W23)/W23</f>
        <v>-0.13573235218377505</v>
      </c>
      <c r="AU26" s="1019"/>
    </row>
    <row r="27" spans="1:56" s="82" customFormat="1" ht="16" thickBot="1" x14ac:dyDescent="0.25">
      <c r="A27" s="924"/>
      <c r="B27" s="74">
        <f>B26+0.01</f>
        <v>2.0299999999999994</v>
      </c>
      <c r="C27" s="1182"/>
      <c r="D27" s="75" t="s">
        <v>39</v>
      </c>
      <c r="E27" s="651"/>
      <c r="F27" s="652">
        <f>(F23-985.33)/985.33</f>
        <v>1.2172673114591048</v>
      </c>
      <c r="G27" s="77"/>
      <c r="H27" s="76">
        <f>(H23-F23)/F23</f>
        <v>-0.28407041570163954</v>
      </c>
      <c r="I27" s="77"/>
      <c r="J27" s="680"/>
      <c r="K27" s="77"/>
      <c r="L27" s="680"/>
      <c r="M27" s="995"/>
      <c r="N27" s="77"/>
      <c r="O27" s="80">
        <f>(O23-L23)/L23</f>
        <v>4.6571399198108369E-2</v>
      </c>
      <c r="P27" s="77"/>
      <c r="Q27" s="80">
        <f>(Q23-O23)/O23</f>
        <v>0.43860510805501002</v>
      </c>
      <c r="R27" s="77"/>
      <c r="S27" s="78"/>
      <c r="T27" s="79"/>
      <c r="U27" s="80">
        <f>(U23-Q23)/Q23</f>
        <v>3.3834073062478549E-2</v>
      </c>
      <c r="V27" s="81"/>
      <c r="W27" s="1048"/>
      <c r="X27" s="680"/>
      <c r="Y27" s="1106"/>
      <c r="Z27" s="1065"/>
      <c r="AD27" s="83"/>
      <c r="AE27" s="83"/>
      <c r="AF27" s="83"/>
      <c r="AG27" s="83"/>
      <c r="AH27" s="83"/>
      <c r="AI27" s="83"/>
      <c r="AJ27" s="83"/>
      <c r="AS27" s="610"/>
      <c r="AU27" s="1019"/>
      <c r="AW27" s="82" t="s">
        <v>471</v>
      </c>
      <c r="AY27" s="82">
        <f>(W23-N23)/N23</f>
        <v>0.77728526645768026</v>
      </c>
    </row>
    <row r="28" spans="1:56" ht="4.5" customHeight="1" thickTop="1" x14ac:dyDescent="0.2">
      <c r="A28" s="5"/>
      <c r="E28" s="653"/>
      <c r="F28" s="653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84"/>
      <c r="X28" s="84"/>
      <c r="Y28" s="1098"/>
      <c r="AA28"/>
      <c r="AC28" s="473"/>
      <c r="AD28" s="4"/>
      <c r="AE28" s="4"/>
      <c r="AF28" s="4"/>
      <c r="AG28" s="4"/>
      <c r="AH28" s="4"/>
      <c r="AI28" s="4"/>
      <c r="AK28"/>
      <c r="AL28"/>
      <c r="AS28" s="84"/>
    </row>
    <row r="29" spans="1:56" s="5" customFormat="1" ht="4.5" customHeight="1" x14ac:dyDescent="0.2">
      <c r="B29" s="2"/>
      <c r="C29" s="2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1098"/>
      <c r="AC29" s="1063"/>
      <c r="AD29" s="1064"/>
      <c r="AE29" s="1064"/>
      <c r="AF29" s="1064"/>
      <c r="AG29" s="1064"/>
      <c r="AH29" s="1064"/>
      <c r="AI29" s="1064"/>
      <c r="AJ29" s="1064"/>
      <c r="AS29" s="85"/>
    </row>
    <row r="30" spans="1:56" ht="4.5" customHeight="1" thickBot="1" x14ac:dyDescent="0.25">
      <c r="A30" s="5"/>
      <c r="E30" s="653"/>
      <c r="F30" s="65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5"/>
      <c r="T30" s="85"/>
      <c r="U30" s="85"/>
      <c r="V30" s="85"/>
      <c r="W30" s="84"/>
      <c r="X30" s="85"/>
      <c r="Y30" s="1098"/>
      <c r="AA30"/>
      <c r="AC30" s="473"/>
      <c r="AD30" s="4"/>
      <c r="AE30" s="4"/>
      <c r="AF30" s="4"/>
      <c r="AG30" s="4"/>
      <c r="AH30" s="4"/>
      <c r="AI30" s="4"/>
      <c r="AK30"/>
      <c r="AL30"/>
      <c r="AS30" s="84"/>
    </row>
    <row r="31" spans="1:56" s="12" customFormat="1" thickTop="1" x14ac:dyDescent="0.2">
      <c r="A31" s="6"/>
      <c r="B31" s="1128" t="s">
        <v>457</v>
      </c>
      <c r="C31" s="1129"/>
      <c r="D31" s="1130"/>
      <c r="E31" s="629" t="s">
        <v>1</v>
      </c>
      <c r="F31" s="630"/>
      <c r="G31" s="9" t="s">
        <v>57</v>
      </c>
      <c r="H31" s="7"/>
      <c r="I31" s="932" t="s">
        <v>197</v>
      </c>
      <c r="J31" s="933"/>
      <c r="K31" s="1001" t="s">
        <v>227</v>
      </c>
      <c r="L31" s="1001"/>
      <c r="M31" s="1001"/>
      <c r="N31" s="921" t="s">
        <v>261</v>
      </c>
      <c r="O31" s="1002"/>
      <c r="P31" s="921" t="s">
        <v>391</v>
      </c>
      <c r="Q31" s="841"/>
      <c r="R31" s="9" t="s">
        <v>426</v>
      </c>
      <c r="S31" s="10"/>
      <c r="T31" s="10"/>
      <c r="U31" s="7"/>
      <c r="V31" s="11"/>
      <c r="W31" s="86" t="s">
        <v>449</v>
      </c>
      <c r="X31" s="479"/>
      <c r="Y31" s="1107"/>
      <c r="AC31" s="474"/>
      <c r="AD31" s="4"/>
      <c r="AE31" s="13"/>
      <c r="AF31" s="13"/>
      <c r="AG31" s="13"/>
      <c r="AH31" s="13"/>
      <c r="AI31" s="13"/>
      <c r="AJ31" s="13"/>
      <c r="AS31" s="86" t="s">
        <v>261</v>
      </c>
      <c r="AU31" s="1020"/>
      <c r="AW31" s="12" t="s">
        <v>472</v>
      </c>
      <c r="AY31" s="12" t="s">
        <v>473</v>
      </c>
      <c r="AZ31" s="1056">
        <f>(W9-U9)/U9</f>
        <v>2.4047619047619047</v>
      </c>
      <c r="BA31" s="1055">
        <f>AZ31*U9</f>
        <v>101</v>
      </c>
    </row>
    <row r="32" spans="1:56" s="16" customFormat="1" ht="21.75" customHeight="1" x14ac:dyDescent="0.2">
      <c r="A32" s="14"/>
      <c r="B32" s="1131"/>
      <c r="C32" s="1132"/>
      <c r="D32" s="1133"/>
      <c r="E32" s="1139" t="s">
        <v>3</v>
      </c>
      <c r="F32" s="1141" t="s">
        <v>4</v>
      </c>
      <c r="G32" s="1143" t="s">
        <v>3</v>
      </c>
      <c r="H32" s="1138" t="s">
        <v>4</v>
      </c>
      <c r="I32" s="1143" t="s">
        <v>3</v>
      </c>
      <c r="J32" s="1138" t="s">
        <v>4</v>
      </c>
      <c r="K32" s="1143" t="s">
        <v>3</v>
      </c>
      <c r="L32" s="1138" t="s">
        <v>4</v>
      </c>
      <c r="M32" s="1023"/>
      <c r="N32" s="1143" t="s">
        <v>3</v>
      </c>
      <c r="O32" s="1138" t="s">
        <v>4</v>
      </c>
      <c r="P32" s="1143" t="s">
        <v>3</v>
      </c>
      <c r="Q32" s="1138" t="s">
        <v>4</v>
      </c>
      <c r="R32" s="1143" t="s">
        <v>3</v>
      </c>
      <c r="S32" s="1134" t="s">
        <v>429</v>
      </c>
      <c r="T32" s="1134" t="s">
        <v>430</v>
      </c>
      <c r="U32" s="1134" t="s">
        <v>40</v>
      </c>
      <c r="V32" s="15"/>
      <c r="W32" s="1125" t="s">
        <v>3</v>
      </c>
      <c r="X32" s="922"/>
      <c r="Y32" s="1108"/>
      <c r="AC32" s="475"/>
      <c r="AD32" s="17"/>
      <c r="AE32" s="18"/>
      <c r="AF32" s="18"/>
      <c r="AG32" s="18"/>
      <c r="AH32" s="18"/>
      <c r="AI32" s="18"/>
      <c r="AJ32" s="18"/>
      <c r="AS32" s="1125" t="s">
        <v>3</v>
      </c>
      <c r="AU32" s="1021"/>
      <c r="AV32" s="1017"/>
      <c r="AY32" s="16" t="s">
        <v>474</v>
      </c>
    </row>
    <row r="33" spans="1:51" s="16" customFormat="1" ht="21.75" customHeight="1" x14ac:dyDescent="0.2">
      <c r="A33" s="14"/>
      <c r="B33" s="19" t="s">
        <v>7</v>
      </c>
      <c r="C33" s="1134" t="s">
        <v>8</v>
      </c>
      <c r="D33" s="1135"/>
      <c r="E33" s="1140"/>
      <c r="F33" s="1142"/>
      <c r="G33" s="1143"/>
      <c r="H33" s="1138"/>
      <c r="I33" s="1143"/>
      <c r="J33" s="1138"/>
      <c r="K33" s="1143"/>
      <c r="L33" s="1138"/>
      <c r="M33" s="1023"/>
      <c r="N33" s="1143"/>
      <c r="O33" s="1138"/>
      <c r="P33" s="1143"/>
      <c r="Q33" s="1138"/>
      <c r="R33" s="1143"/>
      <c r="S33" s="1134"/>
      <c r="T33" s="1134"/>
      <c r="U33" s="1134"/>
      <c r="V33" s="15"/>
      <c r="W33" s="1125"/>
      <c r="X33" s="922"/>
      <c r="Y33" s="1108"/>
      <c r="AC33" s="475"/>
      <c r="AD33" s="17"/>
      <c r="AE33" s="18"/>
      <c r="AF33" s="18"/>
      <c r="AG33" s="18"/>
      <c r="AH33" s="18"/>
      <c r="AI33" s="18"/>
      <c r="AJ33" s="18"/>
      <c r="AS33" s="1125"/>
      <c r="AU33" s="1021"/>
      <c r="AY33" s="16" t="s">
        <v>171</v>
      </c>
    </row>
    <row r="34" spans="1:51" s="25" customFormat="1" thickBot="1" x14ac:dyDescent="0.25">
      <c r="A34" s="20"/>
      <c r="B34" s="21" t="s">
        <v>9</v>
      </c>
      <c r="C34" s="1122" t="s">
        <v>10</v>
      </c>
      <c r="D34" s="1123"/>
      <c r="E34" s="654" t="s">
        <v>12</v>
      </c>
      <c r="F34" s="632" t="s">
        <v>13</v>
      </c>
      <c r="G34" s="679" t="s">
        <v>264</v>
      </c>
      <c r="H34" s="465" t="s">
        <v>11</v>
      </c>
      <c r="I34" s="466" t="s">
        <v>326</v>
      </c>
      <c r="J34" s="465" t="s">
        <v>11</v>
      </c>
      <c r="K34" s="679" t="s">
        <v>264</v>
      </c>
      <c r="L34" s="465" t="s">
        <v>11</v>
      </c>
      <c r="M34" s="1033"/>
      <c r="N34" s="679" t="s">
        <v>264</v>
      </c>
      <c r="O34" s="465" t="s">
        <v>11</v>
      </c>
      <c r="P34" s="466" t="s">
        <v>352</v>
      </c>
      <c r="Q34" s="465" t="s">
        <v>13</v>
      </c>
      <c r="R34" s="466" t="s">
        <v>14</v>
      </c>
      <c r="S34" s="89" t="s">
        <v>15</v>
      </c>
      <c r="T34" s="89" t="s">
        <v>16</v>
      </c>
      <c r="U34" s="89" t="s">
        <v>17</v>
      </c>
      <c r="V34" s="88"/>
      <c r="W34" s="24" t="s">
        <v>18</v>
      </c>
      <c r="X34" s="480"/>
      <c r="Y34" s="1109"/>
      <c r="AC34" s="476"/>
      <c r="AD34" s="17"/>
      <c r="AE34" s="17"/>
      <c r="AF34" s="17"/>
      <c r="AG34" s="17"/>
      <c r="AH34" s="17"/>
      <c r="AI34" s="17"/>
      <c r="AJ34" s="17"/>
      <c r="AS34" s="24" t="s">
        <v>18</v>
      </c>
      <c r="AU34" s="1022"/>
      <c r="AY34" s="16" t="s">
        <v>420</v>
      </c>
    </row>
    <row r="35" spans="1:51" ht="16" thickTop="1" x14ac:dyDescent="0.2">
      <c r="A35" s="5"/>
      <c r="B35" s="35">
        <v>1</v>
      </c>
      <c r="C35" s="1156" t="s">
        <v>42</v>
      </c>
      <c r="D35" s="70" t="s">
        <v>458</v>
      </c>
      <c r="E35" s="635">
        <v>0</v>
      </c>
      <c r="F35" s="636">
        <v>0</v>
      </c>
      <c r="G35" s="37">
        <v>0</v>
      </c>
      <c r="H35" s="39">
        <v>0</v>
      </c>
      <c r="I35" s="37">
        <v>0</v>
      </c>
      <c r="J35" s="129">
        <v>0</v>
      </c>
      <c r="K35" s="37">
        <v>0</v>
      </c>
      <c r="L35" s="129">
        <v>0</v>
      </c>
      <c r="M35" s="991"/>
      <c r="N35" s="37">
        <v>0</v>
      </c>
      <c r="O35" s="129">
        <v>0</v>
      </c>
      <c r="P35" s="37">
        <v>0</v>
      </c>
      <c r="Q35" s="129">
        <v>299.94</v>
      </c>
      <c r="R35" s="91">
        <v>0</v>
      </c>
      <c r="S35" s="42">
        <v>0</v>
      </c>
      <c r="T35" s="42">
        <v>0</v>
      </c>
      <c r="U35" s="42">
        <v>0</v>
      </c>
      <c r="V35" s="472"/>
      <c r="W35" s="93">
        <v>0</v>
      </c>
      <c r="X35" s="107"/>
      <c r="Y35" s="1098"/>
      <c r="AA35"/>
      <c r="AC35" s="473"/>
      <c r="AD35" s="4"/>
      <c r="AE35" s="4"/>
      <c r="AF35" s="4"/>
      <c r="AG35" s="4"/>
      <c r="AH35" s="4"/>
      <c r="AI35" s="4"/>
      <c r="AK35"/>
      <c r="AL35"/>
      <c r="AS35" s="93">
        <v>0</v>
      </c>
      <c r="AU35" s="1003"/>
    </row>
    <row r="36" spans="1:51" x14ac:dyDescent="0.2">
      <c r="A36" s="5"/>
      <c r="B36" s="35">
        <f>B35+0.01</f>
        <v>1.01</v>
      </c>
      <c r="C36" s="1157"/>
      <c r="D36" s="70" t="s">
        <v>44</v>
      </c>
      <c r="E36" s="635">
        <v>0</v>
      </c>
      <c r="F36" s="636">
        <v>0</v>
      </c>
      <c r="G36" s="37">
        <v>0</v>
      </c>
      <c r="H36" s="39">
        <v>0</v>
      </c>
      <c r="I36" s="37">
        <v>0</v>
      </c>
      <c r="J36" s="39">
        <v>0</v>
      </c>
      <c r="K36" s="37">
        <v>0</v>
      </c>
      <c r="L36" s="39">
        <v>0</v>
      </c>
      <c r="M36" s="992"/>
      <c r="N36" s="37">
        <v>0</v>
      </c>
      <c r="O36" s="39"/>
      <c r="P36" s="37">
        <v>0</v>
      </c>
      <c r="Q36" s="39">
        <v>0</v>
      </c>
      <c r="R36" s="37">
        <v>0</v>
      </c>
      <c r="S36" s="42">
        <v>0</v>
      </c>
      <c r="T36" s="42">
        <v>0</v>
      </c>
      <c r="U36" s="42">
        <f>SUM(S36:T36)</f>
        <v>0</v>
      </c>
      <c r="V36" s="472"/>
      <c r="W36" s="93">
        <v>0</v>
      </c>
      <c r="X36" s="107"/>
      <c r="Y36" s="1098"/>
      <c r="AA36"/>
      <c r="AC36" s="473"/>
      <c r="AD36" s="4"/>
      <c r="AE36" s="4"/>
      <c r="AF36" s="4"/>
      <c r="AG36" s="4"/>
      <c r="AH36" s="4"/>
      <c r="AI36" s="4"/>
      <c r="AK36"/>
      <c r="AL36"/>
      <c r="AS36" s="93">
        <v>0</v>
      </c>
      <c r="AU36" s="1003"/>
    </row>
    <row r="37" spans="1:51" x14ac:dyDescent="0.2">
      <c r="A37" s="5"/>
      <c r="B37" s="35">
        <f>B36+0.01</f>
        <v>1.02</v>
      </c>
      <c r="C37" s="1157"/>
      <c r="D37" s="70" t="s">
        <v>45</v>
      </c>
      <c r="E37" s="635">
        <v>0</v>
      </c>
      <c r="F37" s="636">
        <v>16.47</v>
      </c>
      <c r="G37" s="37">
        <v>10.64</v>
      </c>
      <c r="H37" s="39">
        <f>'Accounts 2011-12'!F62</f>
        <v>53.79</v>
      </c>
      <c r="I37" s="37">
        <v>18.71</v>
      </c>
      <c r="J37" s="39">
        <v>18.53</v>
      </c>
      <c r="K37" s="37">
        <v>15</v>
      </c>
      <c r="L37" s="39">
        <v>15.93</v>
      </c>
      <c r="M37" s="992"/>
      <c r="N37" s="37">
        <v>5.27</v>
      </c>
      <c r="O37" s="39">
        <v>12.6</v>
      </c>
      <c r="P37" s="37">
        <v>5</v>
      </c>
      <c r="Q37" s="39">
        <v>14.84</v>
      </c>
      <c r="R37" s="37">
        <v>17.440000000000001</v>
      </c>
      <c r="S37" s="42">
        <v>0</v>
      </c>
      <c r="T37" s="42">
        <v>16.440000000000001</v>
      </c>
      <c r="U37" s="42">
        <f>SUM(S37:T37)</f>
        <v>16.440000000000001</v>
      </c>
      <c r="V37" s="472"/>
      <c r="W37" s="93">
        <v>17.43</v>
      </c>
      <c r="X37" s="107"/>
      <c r="Y37" s="1098"/>
      <c r="AA37"/>
      <c r="AB37" s="107">
        <f>ROUND((20*11+2*30)*0.01881,2)</f>
        <v>5.27</v>
      </c>
      <c r="AC37" s="473"/>
      <c r="AD37" s="4" t="s">
        <v>252</v>
      </c>
      <c r="AE37" s="4"/>
      <c r="AF37" s="4"/>
      <c r="AG37" s="4"/>
      <c r="AH37" s="4"/>
      <c r="AI37" s="4"/>
      <c r="AK37"/>
      <c r="AL37"/>
      <c r="AS37" s="93">
        <f>W37</f>
        <v>17.43</v>
      </c>
      <c r="AU37" s="1003"/>
    </row>
    <row r="38" spans="1:51" ht="16" thickBot="1" x14ac:dyDescent="0.25">
      <c r="A38" s="5"/>
      <c r="B38" s="35">
        <f>B37+0.01</f>
        <v>1.03</v>
      </c>
      <c r="C38" s="1157"/>
      <c r="D38" s="95" t="s">
        <v>323</v>
      </c>
      <c r="E38" s="637"/>
      <c r="F38" s="638"/>
      <c r="G38" s="787"/>
      <c r="H38" s="788"/>
      <c r="I38" s="787"/>
      <c r="J38" s="788"/>
      <c r="K38" s="787"/>
      <c r="L38" s="865">
        <v>163</v>
      </c>
      <c r="M38" s="1036"/>
      <c r="N38" s="866">
        <v>122.5</v>
      </c>
      <c r="O38" s="471">
        <v>139.25</v>
      </c>
      <c r="P38" s="866">
        <v>100</v>
      </c>
      <c r="Q38" s="471">
        <v>92.83</v>
      </c>
      <c r="R38" s="866">
        <v>46.42</v>
      </c>
      <c r="S38" s="471">
        <v>46.42</v>
      </c>
      <c r="T38" s="471">
        <v>0</v>
      </c>
      <c r="U38" s="471">
        <f>SUM(S38:T38)</f>
        <v>46.42</v>
      </c>
      <c r="V38" s="780"/>
      <c r="W38" s="96">
        <v>0</v>
      </c>
      <c r="X38" s="107"/>
      <c r="Y38" s="1098"/>
      <c r="AA38"/>
      <c r="AC38" s="473"/>
      <c r="AD38" s="4"/>
      <c r="AE38" s="4"/>
      <c r="AF38" s="4"/>
      <c r="AG38" s="4"/>
      <c r="AH38" s="4"/>
      <c r="AI38" s="4"/>
      <c r="AK38"/>
      <c r="AL38"/>
      <c r="AS38" s="93"/>
      <c r="AU38" s="1003"/>
    </row>
    <row r="39" spans="1:51" ht="16" thickBot="1" x14ac:dyDescent="0.25">
      <c r="A39" s="5"/>
      <c r="B39" s="97">
        <v>1.1000000000000001</v>
      </c>
      <c r="C39" s="1176"/>
      <c r="D39" s="781" t="s">
        <v>46</v>
      </c>
      <c r="E39" s="782">
        <f t="shared" ref="E39:I39" si="9">SUM(E34:E37)</f>
        <v>0</v>
      </c>
      <c r="F39" s="783">
        <f t="shared" si="9"/>
        <v>16.47</v>
      </c>
      <c r="G39" s="784">
        <f t="shared" si="9"/>
        <v>10.64</v>
      </c>
      <c r="H39" s="785">
        <f t="shared" si="9"/>
        <v>53.79</v>
      </c>
      <c r="I39" s="784">
        <f t="shared" si="9"/>
        <v>18.71</v>
      </c>
      <c r="J39" s="785">
        <f>SUM(J35:J37)</f>
        <v>18.53</v>
      </c>
      <c r="K39" s="784">
        <f t="shared" ref="K39" si="10">SUM(K34:K37)</f>
        <v>15</v>
      </c>
      <c r="L39" s="785">
        <f>SUM(L35:L38)</f>
        <v>178.93</v>
      </c>
      <c r="M39" s="1026"/>
      <c r="N39" s="784">
        <f>SUM(N34:N38)</f>
        <v>127.77</v>
      </c>
      <c r="O39" s="785">
        <f>SUM(O35:O38)</f>
        <v>151.85</v>
      </c>
      <c r="P39" s="784">
        <f>SUM(P34:P38)</f>
        <v>105</v>
      </c>
      <c r="Q39" s="785">
        <f>SUM(Q35:Q38)</f>
        <v>407.60999999999996</v>
      </c>
      <c r="R39" s="784">
        <f>SUM(R35:R38)</f>
        <v>63.86</v>
      </c>
      <c r="S39" s="786">
        <f>SUM(S35:S38)</f>
        <v>46.42</v>
      </c>
      <c r="T39" s="786">
        <f>SUM(T35:T38)</f>
        <v>16.440000000000001</v>
      </c>
      <c r="U39" s="786">
        <f>SUM(U35:U38)</f>
        <v>62.86</v>
      </c>
      <c r="V39" s="52"/>
      <c r="W39" s="127">
        <f>SUM(W34:W38)</f>
        <v>17.43</v>
      </c>
      <c r="X39" s="107"/>
      <c r="Y39" s="1098"/>
      <c r="AA39"/>
      <c r="AC39" s="473"/>
      <c r="AD39" s="4"/>
      <c r="AE39" s="4"/>
      <c r="AF39" s="4"/>
      <c r="AG39" s="4"/>
      <c r="AH39" s="4"/>
      <c r="AI39" s="4"/>
      <c r="AK39"/>
      <c r="AL39"/>
      <c r="AS39" s="93">
        <f>SUM(AS34:AS37)</f>
        <v>17.43</v>
      </c>
      <c r="AU39" s="1003"/>
    </row>
    <row r="40" spans="1:51" ht="17" thickTop="1" thickBot="1" x14ac:dyDescent="0.25">
      <c r="A40" s="5"/>
      <c r="B40" s="99">
        <v>2</v>
      </c>
      <c r="C40" s="100" t="s">
        <v>47</v>
      </c>
      <c r="D40" s="101"/>
      <c r="E40" s="655">
        <v>1500</v>
      </c>
      <c r="F40" s="656"/>
      <c r="G40" s="103">
        <f>'Accounts 2011-12'!G33</f>
        <v>1500</v>
      </c>
      <c r="H40" s="102"/>
      <c r="I40" s="103">
        <v>1900</v>
      </c>
      <c r="J40" s="102"/>
      <c r="K40" s="103">
        <v>1900</v>
      </c>
      <c r="L40" s="102"/>
      <c r="M40" s="1037"/>
      <c r="N40" s="103">
        <v>1900</v>
      </c>
      <c r="O40" s="102"/>
      <c r="P40" s="103">
        <v>1900</v>
      </c>
      <c r="Q40" s="102"/>
      <c r="R40" s="103">
        <v>2400</v>
      </c>
      <c r="S40" s="104"/>
      <c r="T40" s="104"/>
      <c r="U40" s="104"/>
      <c r="V40" s="104"/>
      <c r="W40" s="105"/>
      <c r="X40" s="107"/>
      <c r="Y40" s="1098"/>
      <c r="AA40"/>
      <c r="AC40" s="473"/>
      <c r="AD40" s="4"/>
      <c r="AE40" s="4"/>
      <c r="AF40" s="4"/>
      <c r="AG40" s="4"/>
      <c r="AH40" s="4"/>
      <c r="AI40" s="4"/>
      <c r="AK40"/>
      <c r="AL40"/>
      <c r="AS40" s="105"/>
      <c r="AU40" s="1003"/>
    </row>
    <row r="41" spans="1:51" ht="4.5" customHeight="1" thickTop="1" x14ac:dyDescent="0.2">
      <c r="A41" s="5"/>
      <c r="E41" s="653"/>
      <c r="F41" s="653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5"/>
      <c r="W41" s="84"/>
      <c r="X41" s="85"/>
      <c r="Y41" s="1098"/>
      <c r="AA41"/>
      <c r="AC41" s="473"/>
      <c r="AD41" s="4"/>
      <c r="AE41" s="4"/>
      <c r="AF41" s="4"/>
      <c r="AG41" s="4"/>
      <c r="AH41" s="4"/>
      <c r="AI41" s="4"/>
      <c r="AK41"/>
      <c r="AL41"/>
    </row>
    <row r="42" spans="1:51" s="5" customFormat="1" ht="4.5" customHeight="1" x14ac:dyDescent="0.2">
      <c r="B42" s="2"/>
      <c r="C42" s="2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1098"/>
      <c r="AC42" s="1063"/>
      <c r="AD42" s="1064"/>
      <c r="AE42" s="1064"/>
      <c r="AF42" s="1064"/>
      <c r="AG42" s="1064"/>
      <c r="AH42" s="1064"/>
      <c r="AI42" s="1064"/>
      <c r="AJ42" s="1064"/>
    </row>
    <row r="43" spans="1:51" ht="4.5" customHeight="1" thickBot="1" x14ac:dyDescent="0.25">
      <c r="E43" s="653"/>
      <c r="F43" s="653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85"/>
      <c r="R43" s="85"/>
      <c r="S43" s="85"/>
      <c r="T43" s="107"/>
      <c r="U43" s="106"/>
      <c r="V43" s="107"/>
      <c r="W43" s="106"/>
      <c r="X43" s="107"/>
      <c r="Y43" s="1098"/>
      <c r="AA43"/>
      <c r="AC43" s="473"/>
      <c r="AD43" s="4"/>
      <c r="AE43" s="4"/>
      <c r="AF43" s="4"/>
      <c r="AG43" s="4"/>
      <c r="AH43" s="4"/>
      <c r="AI43" s="4"/>
      <c r="AK43"/>
      <c r="AL43"/>
    </row>
    <row r="44" spans="1:51" s="12" customFormat="1" ht="15.75" customHeight="1" thickTop="1" x14ac:dyDescent="0.2">
      <c r="B44" s="1128" t="s">
        <v>460</v>
      </c>
      <c r="C44" s="1129"/>
      <c r="D44" s="1130"/>
      <c r="E44" s="657" t="s">
        <v>1</v>
      </c>
      <c r="F44" s="630"/>
      <c r="G44" s="9" t="s">
        <v>57</v>
      </c>
      <c r="H44" s="8"/>
      <c r="I44" s="1187" t="s">
        <v>199</v>
      </c>
      <c r="J44" s="1187"/>
      <c r="K44" s="1001" t="s">
        <v>227</v>
      </c>
      <c r="L44" s="1001"/>
      <c r="M44" s="1001"/>
      <c r="N44" s="921" t="s">
        <v>261</v>
      </c>
      <c r="O44" s="1002"/>
      <c r="P44" s="921" t="s">
        <v>391</v>
      </c>
      <c r="Q44" s="841"/>
      <c r="R44" s="1188" t="s">
        <v>426</v>
      </c>
      <c r="S44" s="1188"/>
      <c r="T44" s="86" t="s">
        <v>459</v>
      </c>
      <c r="U44" s="485"/>
      <c r="V44" s="481"/>
      <c r="X44" s="6"/>
      <c r="Y44" s="1110"/>
      <c r="Z44" s="108"/>
      <c r="AA44" s="108"/>
      <c r="AC44" s="474"/>
      <c r="AD44" s="4"/>
      <c r="AE44" s="13"/>
      <c r="AF44" s="13"/>
      <c r="AG44" s="13"/>
      <c r="AH44" s="13"/>
      <c r="AI44" s="13"/>
      <c r="AJ44" s="13"/>
      <c r="AS44" s="86" t="s">
        <v>261</v>
      </c>
      <c r="AU44" s="1020"/>
    </row>
    <row r="45" spans="1:51" s="16" customFormat="1" ht="21.75" customHeight="1" x14ac:dyDescent="0.2">
      <c r="B45" s="1131"/>
      <c r="C45" s="1132"/>
      <c r="D45" s="1133"/>
      <c r="E45" s="1139" t="s">
        <v>48</v>
      </c>
      <c r="F45" s="1141" t="s">
        <v>49</v>
      </c>
      <c r="G45" s="1143" t="s">
        <v>48</v>
      </c>
      <c r="H45" s="1138" t="s">
        <v>49</v>
      </c>
      <c r="I45" s="1175" t="s">
        <v>48</v>
      </c>
      <c r="J45" s="1138" t="s">
        <v>49</v>
      </c>
      <c r="K45" s="1175" t="s">
        <v>48</v>
      </c>
      <c r="L45" s="1138" t="s">
        <v>49</v>
      </c>
      <c r="M45" s="1023"/>
      <c r="N45" s="1175" t="s">
        <v>48</v>
      </c>
      <c r="O45" s="1138" t="s">
        <v>49</v>
      </c>
      <c r="P45" s="1175" t="s">
        <v>48</v>
      </c>
      <c r="Q45" s="1138" t="s">
        <v>49</v>
      </c>
      <c r="R45" s="1143" t="s">
        <v>48</v>
      </c>
      <c r="S45" s="1174" t="s">
        <v>325</v>
      </c>
      <c r="T45" s="1136" t="s">
        <v>50</v>
      </c>
      <c r="U45" s="486"/>
      <c r="V45" s="482"/>
      <c r="X45" s="14"/>
      <c r="Y45" s="1111"/>
      <c r="Z45" s="109"/>
      <c r="AA45" s="109"/>
      <c r="AC45" s="475"/>
      <c r="AD45" s="17"/>
      <c r="AE45" s="18"/>
      <c r="AF45" s="18"/>
      <c r="AG45" s="18"/>
      <c r="AH45" s="18"/>
      <c r="AI45" s="18"/>
      <c r="AJ45" s="18"/>
      <c r="AS45" s="1126" t="s">
        <v>50</v>
      </c>
      <c r="AU45" s="1021"/>
    </row>
    <row r="46" spans="1:51" s="16" customFormat="1" ht="21.75" customHeight="1" x14ac:dyDescent="0.2">
      <c r="B46" s="19" t="s">
        <v>7</v>
      </c>
      <c r="C46" s="1134" t="s">
        <v>8</v>
      </c>
      <c r="D46" s="1135"/>
      <c r="E46" s="1140"/>
      <c r="F46" s="1142"/>
      <c r="G46" s="1143"/>
      <c r="H46" s="1138"/>
      <c r="I46" s="1175"/>
      <c r="J46" s="1138"/>
      <c r="K46" s="1175"/>
      <c r="L46" s="1138"/>
      <c r="M46" s="1023"/>
      <c r="N46" s="1175"/>
      <c r="O46" s="1138"/>
      <c r="P46" s="1175"/>
      <c r="Q46" s="1138"/>
      <c r="R46" s="1143"/>
      <c r="S46" s="1174"/>
      <c r="T46" s="1137"/>
      <c r="U46" s="486"/>
      <c r="V46" s="482"/>
      <c r="X46" s="14"/>
      <c r="Y46" s="1111"/>
      <c r="Z46" s="109"/>
      <c r="AA46" s="109"/>
      <c r="AC46" s="475"/>
      <c r="AD46" s="17"/>
      <c r="AE46" s="18"/>
      <c r="AF46" s="18"/>
      <c r="AG46" s="18"/>
      <c r="AH46" s="18"/>
      <c r="AI46" s="18"/>
      <c r="AJ46" s="18"/>
      <c r="AS46" s="1127"/>
      <c r="AU46" s="1021"/>
    </row>
    <row r="47" spans="1:51" s="25" customFormat="1" thickBot="1" x14ac:dyDescent="0.25">
      <c r="B47" s="21" t="s">
        <v>9</v>
      </c>
      <c r="C47" s="1122" t="s">
        <v>10</v>
      </c>
      <c r="D47" s="1123"/>
      <c r="E47" s="654" t="s">
        <v>12</v>
      </c>
      <c r="F47" s="632" t="s">
        <v>13</v>
      </c>
      <c r="G47" s="22" t="s">
        <v>264</v>
      </c>
      <c r="H47" s="1066" t="s">
        <v>327</v>
      </c>
      <c r="I47" s="22" t="s">
        <v>326</v>
      </c>
      <c r="J47" s="87" t="s">
        <v>11</v>
      </c>
      <c r="K47" s="679" t="s">
        <v>264</v>
      </c>
      <c r="L47" s="465" t="s">
        <v>11</v>
      </c>
      <c r="M47" s="1033"/>
      <c r="N47" s="679" t="s">
        <v>264</v>
      </c>
      <c r="O47" s="465" t="s">
        <v>11</v>
      </c>
      <c r="P47" s="466" t="s">
        <v>352</v>
      </c>
      <c r="Q47" s="465" t="s">
        <v>13</v>
      </c>
      <c r="R47" s="22" t="s">
        <v>328</v>
      </c>
      <c r="S47" s="87" t="s">
        <v>329</v>
      </c>
      <c r="T47" s="24" t="s">
        <v>16</v>
      </c>
      <c r="U47" s="487"/>
      <c r="V47" s="483"/>
      <c r="X47" s="20"/>
      <c r="Y47" s="1112"/>
      <c r="Z47" s="110"/>
      <c r="AA47" s="110"/>
      <c r="AC47" s="476"/>
      <c r="AD47" s="17"/>
      <c r="AE47" s="17"/>
      <c r="AF47" s="17"/>
      <c r="AG47" s="17"/>
      <c r="AH47" s="17"/>
      <c r="AI47" s="17"/>
      <c r="AJ47" s="17"/>
      <c r="AS47" s="602" t="s">
        <v>16</v>
      </c>
      <c r="AU47" s="1022"/>
    </row>
    <row r="48" spans="1:51" ht="16" thickTop="1" x14ac:dyDescent="0.2">
      <c r="B48" s="55">
        <v>1</v>
      </c>
      <c r="C48" s="1156" t="s">
        <v>51</v>
      </c>
      <c r="D48" s="90" t="s">
        <v>324</v>
      </c>
      <c r="E48" s="658">
        <v>0</v>
      </c>
      <c r="F48" s="659">
        <v>0</v>
      </c>
      <c r="G48" s="789"/>
      <c r="H48" s="790"/>
      <c r="I48" s="791"/>
      <c r="J48" s="790"/>
      <c r="K48" s="791"/>
      <c r="L48" s="790"/>
      <c r="M48" s="1027"/>
      <c r="N48" s="91">
        <v>300</v>
      </c>
      <c r="O48" s="868">
        <v>300</v>
      </c>
      <c r="P48" s="91">
        <v>400</v>
      </c>
      <c r="Q48" s="868">
        <v>400</v>
      </c>
      <c r="R48" s="91">
        <v>0</v>
      </c>
      <c r="S48" s="868">
        <v>0</v>
      </c>
      <c r="T48" s="92">
        <v>0</v>
      </c>
      <c r="U48" s="488"/>
      <c r="V48" s="484"/>
      <c r="X48" s="5"/>
      <c r="Y48" s="1098"/>
      <c r="Z48" s="111"/>
      <c r="AA48" s="111"/>
      <c r="AC48" s="473"/>
      <c r="AD48" s="4"/>
      <c r="AE48" s="4"/>
      <c r="AF48" s="4"/>
      <c r="AG48" s="4"/>
      <c r="AH48" s="4"/>
      <c r="AI48" s="4"/>
      <c r="AK48"/>
      <c r="AL48"/>
      <c r="AS48" s="611">
        <v>0</v>
      </c>
      <c r="AU48" s="1003"/>
    </row>
    <row r="49" spans="2:47" x14ac:dyDescent="0.2">
      <c r="B49" s="26">
        <f>B48+0.01</f>
        <v>1.01</v>
      </c>
      <c r="C49" s="1157"/>
      <c r="D49" s="112" t="s">
        <v>52</v>
      </c>
      <c r="E49" s="660">
        <v>0</v>
      </c>
      <c r="F49" s="661">
        <v>0</v>
      </c>
      <c r="G49" s="113">
        <v>0</v>
      </c>
      <c r="H49" s="114">
        <v>0</v>
      </c>
      <c r="I49" s="115">
        <v>0</v>
      </c>
      <c r="J49" s="114">
        <v>0</v>
      </c>
      <c r="K49" s="115">
        <v>0</v>
      </c>
      <c r="L49" s="114">
        <v>0</v>
      </c>
      <c r="M49" s="1028"/>
      <c r="N49" s="113">
        <v>0</v>
      </c>
      <c r="O49" s="116">
        <v>0</v>
      </c>
      <c r="P49" s="113">
        <v>0</v>
      </c>
      <c r="Q49" s="116">
        <v>0</v>
      </c>
      <c r="R49" s="113">
        <v>0</v>
      </c>
      <c r="S49" s="116">
        <v>0</v>
      </c>
      <c r="T49" s="93">
        <v>0</v>
      </c>
      <c r="U49" s="488"/>
      <c r="V49" s="484"/>
      <c r="X49" s="5"/>
      <c r="Y49" s="1098"/>
      <c r="Z49" s="111"/>
      <c r="AA49" s="111"/>
      <c r="AC49" s="473"/>
      <c r="AD49" s="4"/>
      <c r="AE49" s="4"/>
      <c r="AF49" s="4"/>
      <c r="AG49" s="4"/>
      <c r="AH49" s="4"/>
      <c r="AI49" s="4"/>
      <c r="AK49"/>
      <c r="AL49"/>
      <c r="AS49" s="612">
        <v>0</v>
      </c>
      <c r="AU49" s="1003"/>
    </row>
    <row r="50" spans="2:47" ht="13.5" customHeight="1" thickBot="1" x14ac:dyDescent="0.25">
      <c r="B50" s="117">
        <f>B49+0.01</f>
        <v>1.02</v>
      </c>
      <c r="C50" s="1157"/>
      <c r="D50" s="118" t="s">
        <v>53</v>
      </c>
      <c r="E50" s="662">
        <v>0</v>
      </c>
      <c r="F50" s="663">
        <v>0</v>
      </c>
      <c r="G50" s="119">
        <v>0</v>
      </c>
      <c r="H50" s="120">
        <v>0</v>
      </c>
      <c r="I50" s="121">
        <v>0</v>
      </c>
      <c r="J50" s="120">
        <v>0</v>
      </c>
      <c r="K50" s="121">
        <v>0</v>
      </c>
      <c r="L50" s="120">
        <v>0</v>
      </c>
      <c r="M50" s="1029"/>
      <c r="N50" s="119">
        <v>0</v>
      </c>
      <c r="O50" s="122">
        <v>0</v>
      </c>
      <c r="P50" s="119">
        <v>0</v>
      </c>
      <c r="Q50" s="122">
        <v>0</v>
      </c>
      <c r="R50" s="119">
        <v>0</v>
      </c>
      <c r="S50" s="122">
        <v>0</v>
      </c>
      <c r="T50" s="96">
        <v>0</v>
      </c>
      <c r="U50" s="488"/>
      <c r="V50" s="484"/>
      <c r="X50" s="5"/>
      <c r="Y50" s="1098"/>
      <c r="Z50" s="111"/>
      <c r="AA50" s="111"/>
      <c r="AC50" s="473"/>
      <c r="AD50" s="4"/>
      <c r="AE50" s="4"/>
      <c r="AF50" s="4"/>
      <c r="AG50" s="4"/>
      <c r="AH50" s="4"/>
      <c r="AI50" s="4"/>
      <c r="AK50"/>
      <c r="AL50"/>
      <c r="AS50" s="613">
        <v>0</v>
      </c>
      <c r="AU50" s="1003"/>
    </row>
    <row r="51" spans="2:47" ht="16" thickBot="1" x14ac:dyDescent="0.25">
      <c r="B51" s="97">
        <v>1.1000000000000001</v>
      </c>
      <c r="C51" s="1157"/>
      <c r="D51" s="98" t="s">
        <v>54</v>
      </c>
      <c r="E51" s="664">
        <f t="shared" ref="E51:I51" si="11">SUM(E48:E50)</f>
        <v>0</v>
      </c>
      <c r="F51" s="665">
        <f t="shared" si="11"/>
        <v>0</v>
      </c>
      <c r="G51" s="123">
        <f t="shared" ref="G51:H51" si="12">SUM(G48:G50)</f>
        <v>0</v>
      </c>
      <c r="H51" s="124">
        <f t="shared" si="12"/>
        <v>0</v>
      </c>
      <c r="I51" s="125">
        <f t="shared" si="11"/>
        <v>0</v>
      </c>
      <c r="J51" s="124">
        <f>SUM(J49:J50)</f>
        <v>0</v>
      </c>
      <c r="K51" s="125">
        <f t="shared" ref="K51" si="13">SUM(K48:K50)</f>
        <v>0</v>
      </c>
      <c r="L51" s="124">
        <f>SUM(L49:L50)</f>
        <v>0</v>
      </c>
      <c r="M51" s="1030"/>
      <c r="N51" s="125">
        <f>SUM(N48:N50)</f>
        <v>300</v>
      </c>
      <c r="O51" s="124">
        <f>SUM(O48:O50)</f>
        <v>300</v>
      </c>
      <c r="P51" s="125">
        <f>SUM(P48:P50)</f>
        <v>400</v>
      </c>
      <c r="Q51" s="124">
        <f>SUM(Q48:Q50)</f>
        <v>400</v>
      </c>
      <c r="R51" s="123">
        <f>SUM(R48:R50)</f>
        <v>0</v>
      </c>
      <c r="S51" s="126">
        <f>SUM(S47:S50)</f>
        <v>0</v>
      </c>
      <c r="T51" s="127">
        <f>SUM(T48:T50)</f>
        <v>0</v>
      </c>
      <c r="U51" s="488"/>
      <c r="V51" s="484"/>
      <c r="X51" s="5"/>
      <c r="Y51" s="1098"/>
      <c r="Z51" s="111"/>
      <c r="AA51" s="111"/>
      <c r="AC51" s="473"/>
      <c r="AD51" s="4"/>
      <c r="AE51" s="4"/>
      <c r="AF51" s="4"/>
      <c r="AG51" s="4"/>
      <c r="AH51" s="4"/>
      <c r="AI51" s="4"/>
      <c r="AK51"/>
      <c r="AL51"/>
      <c r="AS51" s="614">
        <f>SUM(AS48:AS50)</f>
        <v>0</v>
      </c>
      <c r="AU51" s="1003"/>
    </row>
    <row r="52" spans="2:47" ht="16" thickTop="1" x14ac:dyDescent="0.2">
      <c r="B52" s="55">
        <v>2</v>
      </c>
      <c r="C52" s="128" t="s">
        <v>55</v>
      </c>
      <c r="D52" s="90"/>
      <c r="E52" s="658">
        <v>1242.71</v>
      </c>
      <c r="F52" s="659">
        <f>'Accounts 2010-11'!S23</f>
        <v>409.94000000000023</v>
      </c>
      <c r="G52" s="91">
        <f>F52</f>
        <v>409.94000000000023</v>
      </c>
      <c r="H52" s="129">
        <f>'Accounts 2011-12'!T33</f>
        <v>399.61000000000013</v>
      </c>
      <c r="I52" s="130">
        <f>H52</f>
        <v>399.61000000000013</v>
      </c>
      <c r="J52" s="129">
        <v>274.72000000000003</v>
      </c>
      <c r="K52" s="130">
        <f>J52</f>
        <v>274.72000000000003</v>
      </c>
      <c r="L52" s="129">
        <v>797.33</v>
      </c>
      <c r="M52" s="1031"/>
      <c r="N52" s="91">
        <f>L52-N51</f>
        <v>497.33000000000004</v>
      </c>
      <c r="O52" s="129">
        <f>1220.38-O51</f>
        <v>920.38000000000011</v>
      </c>
      <c r="P52" s="91">
        <f>1220.38-P51</f>
        <v>820.38000000000011</v>
      </c>
      <c r="Q52" s="129">
        <f>1184.79-Q51</f>
        <v>784.79</v>
      </c>
      <c r="R52" s="91">
        <v>1184.79</v>
      </c>
      <c r="S52" s="868">
        <v>1225.17</v>
      </c>
      <c r="T52" s="92">
        <f>S52+S51-T51</f>
        <v>1225.17</v>
      </c>
      <c r="U52" s="488"/>
      <c r="V52" s="108"/>
      <c r="Y52" s="1098"/>
      <c r="Z52" s="111"/>
      <c r="AA52" s="111"/>
      <c r="AC52" s="473"/>
      <c r="AD52" s="4"/>
      <c r="AE52" s="4"/>
      <c r="AF52" s="4"/>
      <c r="AG52" s="4"/>
      <c r="AH52" s="4"/>
      <c r="AI52" s="4"/>
      <c r="AK52"/>
      <c r="AL52"/>
      <c r="AS52" s="611" t="e">
        <f>#REF!</f>
        <v>#REF!</v>
      </c>
      <c r="AU52" s="1003"/>
    </row>
    <row r="53" spans="2:47" ht="16" thickBot="1" x14ac:dyDescent="0.25">
      <c r="B53" s="131">
        <v>2.0099999999999998</v>
      </c>
      <c r="C53" s="132" t="s">
        <v>56</v>
      </c>
      <c r="D53" s="133"/>
      <c r="E53" s="666">
        <f>E52/E40</f>
        <v>0.82847333333333339</v>
      </c>
      <c r="F53" s="667">
        <f>F52/E40</f>
        <v>0.2732933333333335</v>
      </c>
      <c r="G53" s="595">
        <f>G52/G40</f>
        <v>0.2732933333333335</v>
      </c>
      <c r="H53" s="596">
        <f>H52/G40</f>
        <v>0.26640666666666674</v>
      </c>
      <c r="I53" s="597">
        <f>I52/I40</f>
        <v>0.21032105263157902</v>
      </c>
      <c r="J53" s="596">
        <f>J52/I40</f>
        <v>0.14458947368421055</v>
      </c>
      <c r="K53" s="597">
        <f>K52/K40</f>
        <v>0.14458947368421055</v>
      </c>
      <c r="L53" s="596">
        <f>L52/K40</f>
        <v>0.41964736842105266</v>
      </c>
      <c r="M53" s="1032"/>
      <c r="N53" s="597">
        <f>N52/N40</f>
        <v>0.2617526315789474</v>
      </c>
      <c r="O53" s="596">
        <f>O52/N40</f>
        <v>0.48441052631578951</v>
      </c>
      <c r="P53" s="597">
        <f>P52/P40</f>
        <v>0.4317789473684211</v>
      </c>
      <c r="Q53" s="596">
        <f>Q52/P40</f>
        <v>0.41304736842105261</v>
      </c>
      <c r="R53" s="595">
        <f>R52/R40</f>
        <v>0.4936625</v>
      </c>
      <c r="S53" s="598">
        <f>S52/R40</f>
        <v>0.51048749999999998</v>
      </c>
      <c r="T53" s="935">
        <f>T52/R40</f>
        <v>0.51048749999999998</v>
      </c>
      <c r="U53" s="488"/>
      <c r="V53" s="484"/>
      <c r="Y53" s="1098"/>
      <c r="Z53" s="111"/>
      <c r="AA53" s="111"/>
      <c r="AC53" s="473"/>
      <c r="AD53" s="4"/>
      <c r="AE53" s="4"/>
      <c r="AF53" s="4"/>
      <c r="AG53" s="4"/>
      <c r="AH53" s="4"/>
      <c r="AI53" s="4"/>
      <c r="AK53"/>
      <c r="AL53"/>
      <c r="AS53" s="615"/>
      <c r="AU53" s="1003"/>
    </row>
    <row r="54" spans="2:47" ht="4.5" customHeight="1" thickTop="1" x14ac:dyDescent="0.2">
      <c r="Y54" s="1113"/>
    </row>
    <row r="55" spans="2:47" s="5" customFormat="1" ht="4.5" customHeight="1" x14ac:dyDescent="0.2">
      <c r="B55" s="2"/>
      <c r="C55" s="2"/>
      <c r="Y55" s="1113"/>
      <c r="AA55" s="1062"/>
      <c r="AE55" s="1063"/>
      <c r="AF55" s="1063"/>
      <c r="AG55" s="1063"/>
      <c r="AH55" s="1063"/>
      <c r="AI55" s="1063"/>
      <c r="AJ55" s="1064"/>
      <c r="AK55" s="1064"/>
      <c r="AL55" s="1064"/>
    </row>
    <row r="56" spans="2:47" ht="4.5" customHeight="1" thickBot="1" x14ac:dyDescent="0.25">
      <c r="G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U56" s="5"/>
      <c r="V56" s="5"/>
      <c r="W56" s="5"/>
      <c r="X56" s="5"/>
      <c r="Y56" s="1113"/>
    </row>
    <row r="57" spans="2:47" s="12" customFormat="1" ht="15.75" customHeight="1" thickTop="1" thickBot="1" x14ac:dyDescent="0.25">
      <c r="B57" s="1128" t="s">
        <v>461</v>
      </c>
      <c r="C57" s="1129"/>
      <c r="D57" s="1130"/>
      <c r="E57" s="1158" t="s">
        <v>1</v>
      </c>
      <c r="G57" s="1161" t="s">
        <v>57</v>
      </c>
      <c r="H57" s="1161" t="s">
        <v>197</v>
      </c>
      <c r="K57" s="1169" t="s">
        <v>227</v>
      </c>
      <c r="N57" s="1161" t="s">
        <v>261</v>
      </c>
      <c r="O57" s="1161" t="s">
        <v>391</v>
      </c>
      <c r="P57" s="1161" t="s">
        <v>462</v>
      </c>
      <c r="Q57" s="1191" t="s">
        <v>463</v>
      </c>
      <c r="R57" s="1192"/>
      <c r="S57" s="1192"/>
      <c r="T57" s="1193"/>
      <c r="V57" s="479"/>
      <c r="W57" s="108"/>
      <c r="X57" s="108"/>
      <c r="Y57" s="1114"/>
      <c r="Z57" s="481"/>
      <c r="AA57" s="108"/>
      <c r="AB57" s="108"/>
      <c r="AD57" s="474"/>
      <c r="AE57" s="4"/>
      <c r="AF57" s="4"/>
      <c r="AG57" s="4"/>
      <c r="AH57" s="4"/>
      <c r="AI57" s="4"/>
      <c r="AJ57" s="13"/>
      <c r="AK57" s="13"/>
      <c r="AS57" s="86" t="s">
        <v>261</v>
      </c>
      <c r="AT57"/>
      <c r="AU57" s="1020"/>
    </row>
    <row r="58" spans="2:47" s="16" customFormat="1" ht="27" customHeight="1" x14ac:dyDescent="0.2">
      <c r="B58" s="1131"/>
      <c r="C58" s="1132"/>
      <c r="D58" s="1133"/>
      <c r="E58" s="1159"/>
      <c r="G58" s="1162"/>
      <c r="H58" s="1167"/>
      <c r="K58" s="1170"/>
      <c r="N58" s="1167"/>
      <c r="O58" s="1167"/>
      <c r="P58" s="1167"/>
      <c r="Q58" s="1145" t="s">
        <v>431</v>
      </c>
      <c r="R58" s="1172" t="s">
        <v>432</v>
      </c>
      <c r="S58" s="1164" t="s">
        <v>433</v>
      </c>
      <c r="T58" s="1189" t="s">
        <v>477</v>
      </c>
      <c r="U58" s="1166" t="s">
        <v>476</v>
      </c>
      <c r="V58" s="922"/>
      <c r="W58" s="109"/>
      <c r="X58" s="109"/>
      <c r="Y58" s="1115"/>
      <c r="Z58" s="482"/>
      <c r="AA58" s="109"/>
      <c r="AB58" s="109"/>
      <c r="AD58" s="475"/>
      <c r="AE58" s="17"/>
      <c r="AF58" s="17"/>
      <c r="AG58" s="17"/>
      <c r="AH58" s="17"/>
      <c r="AI58" s="17"/>
      <c r="AJ58" s="18"/>
      <c r="AK58" s="18"/>
      <c r="AS58" s="1126" t="s">
        <v>262</v>
      </c>
      <c r="AU58" s="1021"/>
    </row>
    <row r="59" spans="2:47" s="16" customFormat="1" ht="27" customHeight="1" x14ac:dyDescent="0.15">
      <c r="B59" s="19" t="s">
        <v>7</v>
      </c>
      <c r="C59" s="1134" t="s">
        <v>8</v>
      </c>
      <c r="D59" s="1135"/>
      <c r="E59" s="1160"/>
      <c r="G59" s="1163"/>
      <c r="H59" s="1168"/>
      <c r="K59" s="1171"/>
      <c r="N59" s="1168"/>
      <c r="O59" s="1168"/>
      <c r="P59" s="1168"/>
      <c r="Q59" s="1146"/>
      <c r="R59" s="1173"/>
      <c r="S59" s="1165"/>
      <c r="T59" s="1190"/>
      <c r="U59" s="1166"/>
      <c r="V59" s="922"/>
      <c r="W59" s="1018" t="s">
        <v>434</v>
      </c>
      <c r="X59" s="109"/>
      <c r="Y59" s="1115"/>
      <c r="Z59" s="482"/>
      <c r="AA59" s="109"/>
      <c r="AB59" s="109"/>
      <c r="AD59" s="475"/>
      <c r="AE59" s="17"/>
      <c r="AF59" s="17"/>
      <c r="AG59" s="17"/>
      <c r="AH59" s="17"/>
      <c r="AI59" s="17"/>
      <c r="AJ59" s="18"/>
      <c r="AK59" s="18"/>
      <c r="AS59" s="1186"/>
      <c r="AU59" s="1021"/>
    </row>
    <row r="60" spans="2:47" s="25" customFormat="1" thickBot="1" x14ac:dyDescent="0.25">
      <c r="B60" s="21" t="s">
        <v>9</v>
      </c>
      <c r="C60" s="1122" t="s">
        <v>10</v>
      </c>
      <c r="D60" s="1123"/>
      <c r="E60" s="668" t="s">
        <v>41</v>
      </c>
      <c r="G60" s="134" t="s">
        <v>326</v>
      </c>
      <c r="H60" s="134" t="s">
        <v>11</v>
      </c>
      <c r="K60" s="23" t="s">
        <v>264</v>
      </c>
      <c r="N60" s="23" t="s">
        <v>264</v>
      </c>
      <c r="O60" s="134" t="s">
        <v>11</v>
      </c>
      <c r="P60" s="134" t="s">
        <v>352</v>
      </c>
      <c r="Q60" s="842" t="s">
        <v>13</v>
      </c>
      <c r="R60" s="89" t="s">
        <v>14</v>
      </c>
      <c r="S60" s="1066" t="s">
        <v>15</v>
      </c>
      <c r="T60" s="1081" t="s">
        <v>16</v>
      </c>
      <c r="U60" s="1057"/>
      <c r="V60" s="480"/>
      <c r="X60" s="110"/>
      <c r="Y60" s="1116"/>
      <c r="Z60" s="483"/>
      <c r="AA60" s="110"/>
      <c r="AB60" s="110"/>
      <c r="AD60" s="476"/>
      <c r="AE60" s="17"/>
      <c r="AF60" s="17"/>
      <c r="AG60" s="17"/>
      <c r="AH60" s="17"/>
      <c r="AI60" s="17"/>
      <c r="AJ60" s="17"/>
      <c r="AK60" s="17"/>
      <c r="AS60" s="602" t="s">
        <v>14</v>
      </c>
      <c r="AU60" s="1022"/>
    </row>
    <row r="61" spans="2:47" ht="16" thickTop="1" x14ac:dyDescent="0.2">
      <c r="B61" s="55">
        <v>1</v>
      </c>
      <c r="C61" s="135" t="s">
        <v>58</v>
      </c>
      <c r="D61" s="136"/>
      <c r="E61" s="669"/>
      <c r="G61" s="145"/>
      <c r="H61" s="137"/>
      <c r="K61" s="137"/>
      <c r="N61" s="137"/>
      <c r="O61" s="137"/>
      <c r="P61" s="137"/>
      <c r="Q61" s="137"/>
      <c r="R61" s="137"/>
      <c r="S61" s="137"/>
      <c r="T61" s="1082"/>
      <c r="U61" s="1057">
        <v>2</v>
      </c>
      <c r="V61" s="1038"/>
      <c r="W61" s="1184" t="s">
        <v>435</v>
      </c>
      <c r="X61" s="1184"/>
      <c r="Y61" s="1184"/>
      <c r="Z61" s="484"/>
      <c r="AA61" s="111"/>
      <c r="AB61" s="111"/>
      <c r="AD61" s="473"/>
      <c r="AE61" s="4"/>
      <c r="AF61" s="4"/>
      <c r="AG61" s="4"/>
      <c r="AH61" s="4"/>
      <c r="AI61" s="4"/>
      <c r="AL61"/>
      <c r="AS61" s="616"/>
      <c r="AU61" s="1003"/>
    </row>
    <row r="62" spans="2:47" ht="15" customHeight="1" x14ac:dyDescent="0.2">
      <c r="B62" s="35">
        <f>B61+0.01</f>
        <v>1.01</v>
      </c>
      <c r="C62" s="139"/>
      <c r="D62" s="70" t="s">
        <v>59</v>
      </c>
      <c r="E62" s="670">
        <f>E52</f>
        <v>1242.71</v>
      </c>
      <c r="G62" s="140">
        <f>G52</f>
        <v>409.94000000000023</v>
      </c>
      <c r="H62" s="140">
        <f>I52</f>
        <v>399.61000000000013</v>
      </c>
      <c r="K62" s="140">
        <f>K52</f>
        <v>274.72000000000003</v>
      </c>
      <c r="N62" s="869">
        <f>N52</f>
        <v>497.33000000000004</v>
      </c>
      <c r="O62" s="140">
        <f>P52</f>
        <v>820.38000000000011</v>
      </c>
      <c r="P62" s="140">
        <f>R52</f>
        <v>1184.79</v>
      </c>
      <c r="Q62" s="843">
        <f>T52</f>
        <v>1225.17</v>
      </c>
      <c r="R62" s="587">
        <f>T52</f>
        <v>1225.17</v>
      </c>
      <c r="S62" s="1070">
        <f>T52</f>
        <v>1225.17</v>
      </c>
      <c r="T62" s="1083">
        <f>T52</f>
        <v>1225.17</v>
      </c>
      <c r="V62" s="1061"/>
      <c r="W62" s="1184"/>
      <c r="X62" s="1184"/>
      <c r="Y62" s="1184"/>
      <c r="Z62" s="484"/>
      <c r="AA62" s="111"/>
      <c r="AB62" s="111"/>
      <c r="AD62" s="473"/>
      <c r="AE62" s="4"/>
      <c r="AF62" s="4"/>
      <c r="AG62" s="4"/>
      <c r="AH62" s="4"/>
      <c r="AI62" s="4"/>
      <c r="AJ62" s="4" t="s">
        <v>47</v>
      </c>
      <c r="AL62" s="138">
        <v>1900</v>
      </c>
      <c r="AM62" s="138">
        <v>1900</v>
      </c>
      <c r="AN62" s="138">
        <v>1900</v>
      </c>
      <c r="AO62" s="138">
        <v>1900</v>
      </c>
      <c r="AS62" s="617" t="e">
        <f>AS52</f>
        <v>#REF!</v>
      </c>
      <c r="AU62" s="1003"/>
    </row>
    <row r="63" spans="2:47" ht="16" thickBot="1" x14ac:dyDescent="0.25">
      <c r="B63" s="94">
        <f>B62+0.01</f>
        <v>1.02</v>
      </c>
      <c r="C63" s="139"/>
      <c r="D63" s="95" t="s">
        <v>60</v>
      </c>
      <c r="E63" s="671">
        <v>0</v>
      </c>
      <c r="G63" s="142">
        <v>0</v>
      </c>
      <c r="H63" s="142">
        <v>0</v>
      </c>
      <c r="K63" s="142">
        <v>0</v>
      </c>
      <c r="N63" s="870">
        <f>N51</f>
        <v>300</v>
      </c>
      <c r="O63" s="142">
        <f>P51</f>
        <v>400</v>
      </c>
      <c r="P63" s="142">
        <f>R51</f>
        <v>0</v>
      </c>
      <c r="Q63" s="844">
        <f>T51</f>
        <v>0</v>
      </c>
      <c r="R63" s="588">
        <f>T51</f>
        <v>0</v>
      </c>
      <c r="S63" s="1071">
        <f>T51</f>
        <v>0</v>
      </c>
      <c r="T63" s="1084">
        <f>T51</f>
        <v>0</v>
      </c>
      <c r="U63" s="1057">
        <v>3</v>
      </c>
      <c r="V63" s="1039"/>
      <c r="W63" s="592" t="s">
        <v>32</v>
      </c>
      <c r="X63" s="477"/>
      <c r="Y63" s="1117"/>
      <c r="Z63" s="484"/>
      <c r="AA63" s="111"/>
      <c r="AB63" s="111"/>
      <c r="AD63" s="473"/>
      <c r="AE63" s="4"/>
      <c r="AF63" s="4"/>
      <c r="AG63" s="4"/>
      <c r="AH63" s="4"/>
      <c r="AI63" s="4"/>
      <c r="AJ63" s="4" t="s">
        <v>256</v>
      </c>
      <c r="AL63">
        <v>67.36</v>
      </c>
      <c r="AM63">
        <v>65</v>
      </c>
      <c r="AN63">
        <v>60</v>
      </c>
      <c r="AO63">
        <v>55</v>
      </c>
      <c r="AS63" s="618">
        <v>0</v>
      </c>
      <c r="AU63" s="1003"/>
    </row>
    <row r="64" spans="2:47" ht="16" thickBot="1" x14ac:dyDescent="0.25">
      <c r="B64" s="97">
        <v>1.1000000000000001</v>
      </c>
      <c r="C64" s="143"/>
      <c r="D64" s="98" t="s">
        <v>61</v>
      </c>
      <c r="E64" s="672">
        <f t="shared" ref="E64" si="14">SUM(E62:E63)</f>
        <v>1242.71</v>
      </c>
      <c r="G64" s="144">
        <f t="shared" ref="G64:H64" si="15">SUM(G62:G63)</f>
        <v>409.94000000000023</v>
      </c>
      <c r="H64" s="144">
        <f t="shared" si="15"/>
        <v>399.61000000000013</v>
      </c>
      <c r="K64" s="144">
        <f t="shared" ref="K64" si="16">SUM(K62:K63)</f>
        <v>274.72000000000003</v>
      </c>
      <c r="N64" s="871">
        <f t="shared" ref="N64:R64" si="17">SUM(N62:N63)</f>
        <v>797.33</v>
      </c>
      <c r="O64" s="144">
        <f t="shared" si="17"/>
        <v>1220.3800000000001</v>
      </c>
      <c r="P64" s="144">
        <f t="shared" si="17"/>
        <v>1184.79</v>
      </c>
      <c r="Q64" s="845">
        <f t="shared" si="17"/>
        <v>1225.17</v>
      </c>
      <c r="R64" s="589">
        <f t="shared" si="17"/>
        <v>1225.17</v>
      </c>
      <c r="S64" s="1072">
        <f>SUM(S62:S63)</f>
        <v>1225.17</v>
      </c>
      <c r="T64" s="1085">
        <f>SUM(T62:T63)</f>
        <v>1225.17</v>
      </c>
      <c r="Y64" s="1118"/>
      <c r="Z64" s="484"/>
      <c r="AA64" s="111"/>
      <c r="AB64" s="111"/>
      <c r="AC64" s="84"/>
      <c r="AD64" s="473"/>
      <c r="AE64" s="4"/>
      <c r="AF64" s="4"/>
      <c r="AG64" s="4"/>
      <c r="AH64" s="4"/>
      <c r="AI64" s="4"/>
      <c r="AJ64" s="4" t="s">
        <v>257</v>
      </c>
      <c r="AL64" s="84">
        <f>AL62/AL63</f>
        <v>28.206650831353919</v>
      </c>
      <c r="AM64" s="84">
        <f t="shared" ref="AM64:AO64" si="18">AM62/AM63</f>
        <v>29.23076923076923</v>
      </c>
      <c r="AN64" s="84">
        <f t="shared" si="18"/>
        <v>31.666666666666668</v>
      </c>
      <c r="AO64" s="84">
        <f t="shared" si="18"/>
        <v>34.545454545454547</v>
      </c>
      <c r="AS64" s="619" t="e">
        <f t="shared" ref="AS64" si="19">SUM(AS62:AS63)</f>
        <v>#REF!</v>
      </c>
      <c r="AU64" s="1003"/>
    </row>
    <row r="65" spans="1:50" ht="15.75" customHeight="1" thickTop="1" x14ac:dyDescent="0.2">
      <c r="A65" s="5"/>
      <c r="B65" s="55">
        <v>2</v>
      </c>
      <c r="C65" s="135" t="s">
        <v>62</v>
      </c>
      <c r="D65" s="136"/>
      <c r="E65" s="669"/>
      <c r="G65" s="145"/>
      <c r="H65" s="145"/>
      <c r="K65" s="145"/>
      <c r="N65" s="145"/>
      <c r="O65" s="145"/>
      <c r="P65" s="145"/>
      <c r="Q65" s="145"/>
      <c r="R65" s="145"/>
      <c r="S65" s="145"/>
      <c r="T65" s="1086"/>
      <c r="U65" s="1057">
        <v>4</v>
      </c>
      <c r="W65" s="1061" t="s">
        <v>454</v>
      </c>
      <c r="Z65" s="484"/>
      <c r="AA65" s="111"/>
      <c r="AB65" s="111"/>
      <c r="AC65" s="84"/>
      <c r="AD65" s="473"/>
      <c r="AE65" s="4"/>
      <c r="AF65" s="4"/>
      <c r="AG65" s="4"/>
      <c r="AH65" s="4"/>
      <c r="AI65" s="4"/>
      <c r="AL65"/>
      <c r="AS65" s="620"/>
      <c r="AU65" s="1003"/>
    </row>
    <row r="66" spans="1:50" ht="15" customHeight="1" x14ac:dyDescent="0.2">
      <c r="A66" s="5"/>
      <c r="B66" s="35">
        <f>B65+0.01</f>
        <v>2.0099999999999998</v>
      </c>
      <c r="C66" s="139"/>
      <c r="D66" s="70" t="s">
        <v>63</v>
      </c>
      <c r="E66" s="670">
        <f>F39</f>
        <v>16.47</v>
      </c>
      <c r="G66" s="140">
        <f>H39</f>
        <v>53.79</v>
      </c>
      <c r="H66" s="140">
        <f>J39</f>
        <v>18.53</v>
      </c>
      <c r="K66" s="140">
        <f>L39</f>
        <v>178.93</v>
      </c>
      <c r="N66" s="869">
        <f>O39</f>
        <v>151.85</v>
      </c>
      <c r="O66" s="140">
        <f>Q39</f>
        <v>407.60999999999996</v>
      </c>
      <c r="P66" s="140">
        <f>S39+T39</f>
        <v>62.86</v>
      </c>
      <c r="Q66" s="843">
        <f>W39</f>
        <v>17.43</v>
      </c>
      <c r="R66" s="587">
        <f>$W39</f>
        <v>17.43</v>
      </c>
      <c r="S66" s="1070">
        <f>$W39</f>
        <v>17.43</v>
      </c>
      <c r="T66" s="1083">
        <f>$W39</f>
        <v>17.43</v>
      </c>
      <c r="Z66" s="484"/>
      <c r="AA66" s="111"/>
      <c r="AB66" s="111"/>
      <c r="AC66" s="84"/>
      <c r="AD66" s="473"/>
      <c r="AE66" s="4"/>
      <c r="AF66" s="4"/>
      <c r="AG66" s="4"/>
      <c r="AH66" s="4"/>
      <c r="AI66" s="4"/>
      <c r="AL66"/>
      <c r="AS66" s="617">
        <f>AS39</f>
        <v>17.43</v>
      </c>
      <c r="AU66" s="1003"/>
    </row>
    <row r="67" spans="1:50" ht="15.75" customHeight="1" thickBot="1" x14ac:dyDescent="0.25">
      <c r="A67" s="5"/>
      <c r="B67" s="94">
        <f>B66+0.01</f>
        <v>2.0199999999999996</v>
      </c>
      <c r="C67" s="139"/>
      <c r="D67" s="95" t="s">
        <v>47</v>
      </c>
      <c r="E67" s="671">
        <f>E40</f>
        <v>1500</v>
      </c>
      <c r="G67" s="142">
        <f>G40</f>
        <v>1500</v>
      </c>
      <c r="H67" s="142">
        <f>I40</f>
        <v>1900</v>
      </c>
      <c r="K67" s="794">
        <f>K40</f>
        <v>1900</v>
      </c>
      <c r="N67" s="870">
        <f>N40</f>
        <v>1900</v>
      </c>
      <c r="O67" s="142">
        <f>P40</f>
        <v>1900</v>
      </c>
      <c r="P67" s="142">
        <f>R40</f>
        <v>2400</v>
      </c>
      <c r="Q67" s="844">
        <v>2400</v>
      </c>
      <c r="R67" s="925">
        <f>P67+300</f>
        <v>2700</v>
      </c>
      <c r="S67" s="1073">
        <f>P67+500</f>
        <v>2900</v>
      </c>
      <c r="T67" s="1087">
        <f>P67+750</f>
        <v>3150</v>
      </c>
      <c r="U67" s="1059">
        <v>5</v>
      </c>
      <c r="W67" s="1185" t="s">
        <v>464</v>
      </c>
      <c r="X67" s="1185"/>
      <c r="Y67" s="1185"/>
      <c r="Z67" s="484"/>
      <c r="AA67" s="111"/>
      <c r="AB67" s="111"/>
      <c r="AC67" s="84"/>
      <c r="AD67" s="473"/>
      <c r="AE67" s="4"/>
      <c r="AF67" s="4"/>
      <c r="AG67" s="4"/>
      <c r="AH67" s="4"/>
      <c r="AI67" s="4"/>
      <c r="AL67"/>
      <c r="AS67" s="618" t="e">
        <f>#REF!</f>
        <v>#REF!</v>
      </c>
      <c r="AU67" s="1003"/>
    </row>
    <row r="68" spans="1:50" ht="15.75" customHeight="1" thickBot="1" x14ac:dyDescent="0.25">
      <c r="A68" s="5"/>
      <c r="B68" s="146">
        <v>2.1</v>
      </c>
      <c r="C68" s="139"/>
      <c r="D68" s="147" t="s">
        <v>64</v>
      </c>
      <c r="E68" s="673">
        <f t="shared" ref="E68" si="20">SUM(E66:E67)</f>
        <v>1516.47</v>
      </c>
      <c r="G68" s="148">
        <f>SUM(G66:G67)</f>
        <v>1553.79</v>
      </c>
      <c r="H68" s="148">
        <f>U23</f>
        <v>2422.48</v>
      </c>
      <c r="K68" s="148">
        <f t="shared" ref="K68" si="21">SUM(K66:K67)</f>
        <v>2078.9299999999998</v>
      </c>
      <c r="N68" s="872">
        <f t="shared" ref="N68:R68" si="22">SUM(N66:N67)</f>
        <v>2051.85</v>
      </c>
      <c r="O68" s="872">
        <f t="shared" si="22"/>
        <v>2307.61</v>
      </c>
      <c r="P68" s="872">
        <f t="shared" si="22"/>
        <v>2462.86</v>
      </c>
      <c r="Q68" s="846">
        <f t="shared" si="22"/>
        <v>2417.4299999999998</v>
      </c>
      <c r="R68" s="590">
        <f t="shared" si="22"/>
        <v>2717.43</v>
      </c>
      <c r="S68" s="1074">
        <f>SUM(S66:S67)</f>
        <v>2917.43</v>
      </c>
      <c r="T68" s="1088">
        <f>SUM(T66:T67)</f>
        <v>3167.43</v>
      </c>
      <c r="V68" s="1068"/>
      <c r="W68" s="1185"/>
      <c r="X68" s="1185"/>
      <c r="Y68" s="1185"/>
      <c r="Z68" s="484"/>
      <c r="AA68" s="111"/>
      <c r="AB68" s="111"/>
      <c r="AD68" s="473"/>
      <c r="AE68" s="4"/>
      <c r="AF68" s="4"/>
      <c r="AG68" s="4"/>
      <c r="AH68" s="4"/>
      <c r="AI68" s="4"/>
      <c r="AJ68" s="4" t="s">
        <v>258</v>
      </c>
      <c r="AL68" s="138">
        <v>6.15</v>
      </c>
      <c r="AS68" s="621" t="e">
        <f t="shared" ref="AS68" si="23">SUM(AS66:AS67)</f>
        <v>#REF!</v>
      </c>
      <c r="AU68" s="1003"/>
    </row>
    <row r="69" spans="1:50" ht="15.75" customHeight="1" thickBot="1" x14ac:dyDescent="0.25">
      <c r="A69" s="5"/>
      <c r="B69" s="936">
        <v>2.2000000000000002</v>
      </c>
      <c r="C69" s="139"/>
      <c r="D69" s="943" t="s">
        <v>65</v>
      </c>
      <c r="E69" s="944">
        <f>F23</f>
        <v>2184.7399999999998</v>
      </c>
      <c r="G69" s="945">
        <f>H23</f>
        <v>1564.12</v>
      </c>
      <c r="H69" s="945">
        <f>J23</f>
        <v>2043.42</v>
      </c>
      <c r="K69" s="945">
        <f>L23</f>
        <v>1556.32</v>
      </c>
      <c r="N69" s="946">
        <f>O23</f>
        <v>1628.8</v>
      </c>
      <c r="O69" s="945">
        <f>Q23</f>
        <v>2343.2000000000003</v>
      </c>
      <c r="P69" s="945">
        <f>U23</f>
        <v>2422.48</v>
      </c>
      <c r="Q69" s="947">
        <f>W23</f>
        <v>2834.77</v>
      </c>
      <c r="R69" s="948">
        <f>$W23</f>
        <v>2834.77</v>
      </c>
      <c r="S69" s="1075">
        <f>$W23</f>
        <v>2834.77</v>
      </c>
      <c r="T69" s="1089">
        <f>$W23</f>
        <v>2834.77</v>
      </c>
      <c r="U69" s="1057">
        <v>6</v>
      </c>
      <c r="V69" s="1068"/>
      <c r="W69" s="1184" t="s">
        <v>475</v>
      </c>
      <c r="X69" s="1184"/>
      <c r="Y69" s="1184"/>
      <c r="Z69" s="484"/>
      <c r="AA69" s="111"/>
      <c r="AB69" s="111"/>
      <c r="AD69" s="473"/>
      <c r="AE69" s="4"/>
      <c r="AF69" s="4"/>
      <c r="AG69" s="4"/>
      <c r="AH69" s="4"/>
      <c r="AI69" s="4"/>
      <c r="AJ69" s="4" t="s">
        <v>259</v>
      </c>
      <c r="AL69">
        <v>31</v>
      </c>
      <c r="AS69" s="622">
        <f>AS23</f>
        <v>2450</v>
      </c>
      <c r="AU69" s="1003"/>
    </row>
    <row r="70" spans="1:50" ht="15.75" customHeight="1" thickTop="1" x14ac:dyDescent="0.2">
      <c r="A70" s="5"/>
      <c r="B70" s="949">
        <v>2.2999999999999998</v>
      </c>
      <c r="C70" s="937"/>
      <c r="D70" s="960" t="s">
        <v>440</v>
      </c>
      <c r="E70" s="950"/>
      <c r="F70" s="951"/>
      <c r="G70" s="952"/>
      <c r="H70" s="952"/>
      <c r="I70" s="953"/>
      <c r="J70" s="953"/>
      <c r="K70" s="961">
        <f>K68-K69</f>
        <v>522.6099999999999</v>
      </c>
      <c r="N70" s="962">
        <f>N68-N69</f>
        <v>423.04999999999995</v>
      </c>
      <c r="O70" s="967"/>
      <c r="P70" s="962">
        <f>P68-P69</f>
        <v>40.380000000000109</v>
      </c>
      <c r="Q70" s="968"/>
      <c r="R70" s="1040"/>
      <c r="S70" s="1076">
        <f>S68-S69</f>
        <v>82.659999999999854</v>
      </c>
      <c r="T70" s="1090">
        <f>T68-T69</f>
        <v>332.65999999999985</v>
      </c>
      <c r="V70" s="1068"/>
      <c r="W70" s="1184"/>
      <c r="X70" s="1184"/>
      <c r="Y70" s="1184"/>
      <c r="Z70" s="484"/>
      <c r="AA70" s="111"/>
      <c r="AB70" s="111"/>
      <c r="AD70" s="473"/>
      <c r="AE70" s="4"/>
      <c r="AF70" s="4"/>
      <c r="AG70" s="4"/>
      <c r="AH70" s="4"/>
      <c r="AI70" s="4"/>
      <c r="AL70"/>
      <c r="AS70" s="938"/>
      <c r="AU70" s="1003"/>
    </row>
    <row r="71" spans="1:50" ht="16" thickBot="1" x14ac:dyDescent="0.25">
      <c r="A71" s="5"/>
      <c r="B71" s="954">
        <v>2.31</v>
      </c>
      <c r="C71" s="942"/>
      <c r="D71" s="959" t="s">
        <v>439</v>
      </c>
      <c r="E71" s="956"/>
      <c r="F71" s="957"/>
      <c r="G71" s="958"/>
      <c r="H71" s="958"/>
      <c r="I71" s="955"/>
      <c r="J71" s="955"/>
      <c r="K71" s="965"/>
      <c r="N71" s="966"/>
      <c r="O71" s="963">
        <f>O69-O68</f>
        <v>35.590000000000146</v>
      </c>
      <c r="P71" s="966"/>
      <c r="Q71" s="964">
        <f>Q69-Q68</f>
        <v>417.34000000000015</v>
      </c>
      <c r="R71" s="1041">
        <f>R69-R68</f>
        <v>117.34000000000015</v>
      </c>
      <c r="S71" s="1077"/>
      <c r="T71" s="1091"/>
      <c r="U71" s="1058"/>
      <c r="V71" s="1068"/>
      <c r="W71" s="1184"/>
      <c r="X71" s="1184"/>
      <c r="Y71" s="1184"/>
      <c r="Z71" s="484"/>
      <c r="AA71" s="111"/>
      <c r="AB71" s="111"/>
      <c r="AD71" s="473"/>
      <c r="AE71" s="4"/>
      <c r="AF71" s="4"/>
      <c r="AG71" s="4"/>
      <c r="AH71" s="4"/>
      <c r="AI71" s="4"/>
      <c r="AL71"/>
      <c r="AS71" s="938"/>
      <c r="AU71" s="1003"/>
    </row>
    <row r="72" spans="1:50" ht="15.75" customHeight="1" thickTop="1" x14ac:dyDescent="0.2">
      <c r="A72" s="5"/>
      <c r="B72" s="927">
        <v>3</v>
      </c>
      <c r="C72" s="937" t="s">
        <v>66</v>
      </c>
      <c r="D72" s="939"/>
      <c r="E72" s="940"/>
      <c r="G72" s="941"/>
      <c r="H72" s="941"/>
      <c r="K72" s="941"/>
      <c r="N72" s="941"/>
      <c r="O72" s="941"/>
      <c r="P72" s="941"/>
      <c r="Q72" s="941"/>
      <c r="R72" s="941"/>
      <c r="S72" s="941"/>
      <c r="T72" s="1092"/>
      <c r="U72" s="1057">
        <v>7</v>
      </c>
      <c r="V72" s="1061"/>
      <c r="W72" s="1061" t="s">
        <v>436</v>
      </c>
      <c r="X72" s="1061"/>
      <c r="Y72" s="1117"/>
      <c r="Z72" s="484"/>
      <c r="AA72" s="111"/>
      <c r="AB72" s="111"/>
      <c r="AD72" s="473"/>
      <c r="AE72" s="4"/>
      <c r="AF72" s="4"/>
      <c r="AG72" s="4"/>
      <c r="AH72" s="4"/>
      <c r="AI72" s="4"/>
      <c r="AJ72" s="4" t="s">
        <v>260</v>
      </c>
      <c r="AL72" s="84">
        <f>AL68*AL69</f>
        <v>190.65</v>
      </c>
      <c r="AS72" s="620"/>
      <c r="AU72" s="1003"/>
    </row>
    <row r="73" spans="1:50" ht="15" customHeight="1" x14ac:dyDescent="0.2">
      <c r="A73" s="5"/>
      <c r="B73" s="928">
        <f>B72+0.01</f>
        <v>3.01</v>
      </c>
      <c r="C73" s="139"/>
      <c r="D73" s="70" t="s">
        <v>59</v>
      </c>
      <c r="E73" s="670">
        <f t="shared" ref="E73" si="24">E62+E66+E67-E69</f>
        <v>574.44000000000051</v>
      </c>
      <c r="G73" s="140">
        <f>G62+G66+G67-G69</f>
        <v>399.61000000000035</v>
      </c>
      <c r="H73" s="140">
        <f>H62+H66+H67-H69</f>
        <v>274.72000000000025</v>
      </c>
      <c r="K73" s="140">
        <f>K64+K68-K69</f>
        <v>797.3299999999997</v>
      </c>
      <c r="N73" s="877">
        <f>N62+N68-N69</f>
        <v>920.37999999999988</v>
      </c>
      <c r="O73" s="877">
        <f>O62+O68-O69</f>
        <v>784.79</v>
      </c>
      <c r="P73" s="877">
        <f>P62+P68-P69</f>
        <v>1225.17</v>
      </c>
      <c r="Q73" s="141">
        <f>Q64+Q66+Q67-Q69</f>
        <v>807.83000000000038</v>
      </c>
      <c r="R73" s="587">
        <f>R64+R66+R67-R69</f>
        <v>1107.8300000000004</v>
      </c>
      <c r="S73" s="1070">
        <f>S64+S66+S67-S69</f>
        <v>1307.8300000000004</v>
      </c>
      <c r="T73" s="1083">
        <f>T64+T66+T67-T69</f>
        <v>1557.8300000000004</v>
      </c>
      <c r="U73" s="1058"/>
      <c r="V73" s="1061"/>
      <c r="W73" s="1061"/>
      <c r="X73" s="1061"/>
      <c r="Y73" s="1117"/>
      <c r="Z73" s="484"/>
      <c r="AA73" s="111"/>
      <c r="AB73" s="111"/>
      <c r="AD73" s="473"/>
      <c r="AE73" s="4"/>
      <c r="AF73" s="4"/>
      <c r="AG73" s="4"/>
      <c r="AH73" s="4"/>
      <c r="AI73" s="4"/>
      <c r="AL73"/>
      <c r="AS73" s="617" t="e">
        <f t="shared" ref="AS73" si="25">AS62+AS66+AS67-AS69</f>
        <v>#REF!</v>
      </c>
      <c r="AU73" s="1003"/>
    </row>
    <row r="74" spans="1:50" ht="15.75" customHeight="1" thickBot="1" x14ac:dyDescent="0.25">
      <c r="A74" s="5"/>
      <c r="B74" s="929">
        <f>B73+0.01</f>
        <v>3.0199999999999996</v>
      </c>
      <c r="C74" s="139"/>
      <c r="D74" s="95" t="s">
        <v>60</v>
      </c>
      <c r="E74" s="671">
        <f t="shared" ref="E74" si="26">E63</f>
        <v>0</v>
      </c>
      <c r="G74" s="142">
        <f>G63</f>
        <v>0</v>
      </c>
      <c r="H74" s="142">
        <f>H63</f>
        <v>0</v>
      </c>
      <c r="K74" s="142">
        <f>K63</f>
        <v>0</v>
      </c>
      <c r="N74" s="870">
        <f>N63</f>
        <v>300</v>
      </c>
      <c r="O74" s="870">
        <f>O63</f>
        <v>400</v>
      </c>
      <c r="P74" s="142">
        <v>0</v>
      </c>
      <c r="Q74" s="844">
        <v>0</v>
      </c>
      <c r="R74" s="588">
        <v>0</v>
      </c>
      <c r="S74" s="1071">
        <v>0</v>
      </c>
      <c r="T74" s="1084">
        <v>0</v>
      </c>
      <c r="U74" s="1059">
        <v>8</v>
      </c>
      <c r="V74" s="1061"/>
      <c r="W74" s="1061" t="s">
        <v>455</v>
      </c>
      <c r="X74" s="1061"/>
      <c r="Y74" s="1118"/>
      <c r="Z74" s="484"/>
      <c r="AA74" s="111"/>
      <c r="AB74" s="111"/>
      <c r="AD74" s="473"/>
      <c r="AE74" s="4"/>
      <c r="AF74" s="4"/>
      <c r="AG74" s="4"/>
      <c r="AH74" s="4"/>
      <c r="AI74" s="4"/>
      <c r="AL74"/>
      <c r="AS74" s="618">
        <f t="shared" ref="AS74" si="27">AS63</f>
        <v>0</v>
      </c>
      <c r="AU74" s="1003"/>
    </row>
    <row r="75" spans="1:50" ht="15.75" customHeight="1" thickBot="1" x14ac:dyDescent="0.25">
      <c r="A75" s="5"/>
      <c r="B75" s="930">
        <v>3.1</v>
      </c>
      <c r="C75" s="139"/>
      <c r="D75" s="147" t="s">
        <v>61</v>
      </c>
      <c r="E75" s="673">
        <f t="shared" ref="E75" si="28">SUM(E73:E74)</f>
        <v>574.44000000000051</v>
      </c>
      <c r="G75" s="148">
        <f>SUM(G73:G74)</f>
        <v>399.61000000000035</v>
      </c>
      <c r="H75" s="150">
        <f>SUM(H73:H74)</f>
        <v>274.72000000000025</v>
      </c>
      <c r="K75" s="150">
        <f t="shared" ref="K75" si="29">SUM(K73:K74)</f>
        <v>797.3299999999997</v>
      </c>
      <c r="N75" s="873">
        <f t="shared" ref="N75:R75" si="30">SUM(N73:N74)</f>
        <v>1220.3799999999999</v>
      </c>
      <c r="O75" s="150">
        <f t="shared" si="30"/>
        <v>1184.79</v>
      </c>
      <c r="P75" s="150">
        <f t="shared" si="30"/>
        <v>1225.17</v>
      </c>
      <c r="Q75" s="151">
        <f t="shared" si="30"/>
        <v>807.83000000000038</v>
      </c>
      <c r="R75" s="591">
        <f t="shared" si="30"/>
        <v>1107.8300000000004</v>
      </c>
      <c r="S75" s="1078">
        <f>SUM(S73:S74)</f>
        <v>1307.8300000000004</v>
      </c>
      <c r="T75" s="1093">
        <f>SUM(T73:T74)</f>
        <v>1557.8300000000004</v>
      </c>
      <c r="U75" s="1057"/>
      <c r="V75" s="1061"/>
      <c r="W75" s="1061"/>
      <c r="X75" s="1061"/>
      <c r="Y75" s="1118"/>
      <c r="Z75" s="484"/>
      <c r="AA75" s="111"/>
      <c r="AB75" s="111"/>
      <c r="AD75" s="473"/>
      <c r="AE75" s="4"/>
      <c r="AF75" s="4"/>
      <c r="AG75" s="4"/>
      <c r="AH75" s="4"/>
      <c r="AI75" s="4"/>
      <c r="AL75"/>
      <c r="AS75" s="623" t="e">
        <f t="shared" ref="AS75" si="31">SUM(AS73:AS74)</f>
        <v>#REF!</v>
      </c>
      <c r="AU75" s="1003"/>
    </row>
    <row r="76" spans="1:50" ht="15.75" customHeight="1" thickBot="1" x14ac:dyDescent="0.25">
      <c r="A76" s="5"/>
      <c r="B76" s="926">
        <f>B75+0.01</f>
        <v>3.11</v>
      </c>
      <c r="C76" s="143"/>
      <c r="D76" s="149" t="s">
        <v>67</v>
      </c>
      <c r="E76" s="674">
        <f t="shared" ref="E76" si="32">E73/E67</f>
        <v>0.38296000000000036</v>
      </c>
      <c r="G76" s="792">
        <f>G73/G67</f>
        <v>0.2664066666666669</v>
      </c>
      <c r="H76" s="599">
        <f>H73/H67</f>
        <v>0.14458947368421066</v>
      </c>
      <c r="K76" s="599">
        <f t="shared" ref="K76" si="33">K73/K67</f>
        <v>0.41964736842105249</v>
      </c>
      <c r="N76" s="874">
        <f t="shared" ref="N76:R76" si="34">N73/N67</f>
        <v>0.4844105263157894</v>
      </c>
      <c r="O76" s="599">
        <f t="shared" si="34"/>
        <v>0.41304736842105261</v>
      </c>
      <c r="P76" s="599">
        <f t="shared" si="34"/>
        <v>0.51048749999999998</v>
      </c>
      <c r="Q76" s="600">
        <f t="shared" si="34"/>
        <v>0.33659583333333348</v>
      </c>
      <c r="R76" s="600">
        <f t="shared" si="34"/>
        <v>0.41030740740740757</v>
      </c>
      <c r="S76" s="1079">
        <f>S73/S67</f>
        <v>0.45097586206896567</v>
      </c>
      <c r="T76" s="1094">
        <f>T73/T67</f>
        <v>0.49454920634920646</v>
      </c>
      <c r="U76" s="1059">
        <v>9</v>
      </c>
      <c r="V76" s="1069"/>
      <c r="W76" s="1183" t="s">
        <v>441</v>
      </c>
      <c r="X76" s="1183"/>
      <c r="Y76" s="1183"/>
      <c r="Z76" s="484"/>
      <c r="AA76" s="111"/>
      <c r="AB76" s="111"/>
      <c r="AD76" s="473"/>
      <c r="AE76" s="4"/>
      <c r="AF76" s="4"/>
      <c r="AG76" s="4"/>
      <c r="AH76" s="4"/>
      <c r="AI76" s="4"/>
      <c r="AL76"/>
      <c r="AS76" s="624" t="e">
        <f t="shared" ref="AS76" si="35">AS73/AS67</f>
        <v>#REF!</v>
      </c>
      <c r="AU76" s="1003"/>
    </row>
    <row r="77" spans="1:50" ht="17" thickTop="1" thickBot="1" x14ac:dyDescent="0.25">
      <c r="A77" s="5"/>
      <c r="B77" s="931">
        <v>4</v>
      </c>
      <c r="C77" s="100" t="s">
        <v>68</v>
      </c>
      <c r="D77" s="101"/>
      <c r="E77" s="675"/>
      <c r="G77" s="795"/>
      <c r="H77" s="152"/>
      <c r="K77" s="152"/>
      <c r="N77" s="875">
        <f>ROUND((N67-K67)/K67,2)</f>
        <v>0</v>
      </c>
      <c r="O77" s="876">
        <f>ROUND((O67-N67)/N67,2)</f>
        <v>0</v>
      </c>
      <c r="P77" s="876">
        <f>ROUND((P67-O67)/O67,2)</f>
        <v>0.26</v>
      </c>
      <c r="Q77" s="796">
        <f>ROUND((Q67-P67)/P67,2)</f>
        <v>0</v>
      </c>
      <c r="R77" s="793">
        <f>ROUND((R67-P67)/P67,2)</f>
        <v>0.13</v>
      </c>
      <c r="S77" s="1080">
        <f>ROUND((S67-P67)/P67,2)</f>
        <v>0.21</v>
      </c>
      <c r="T77" s="1095">
        <f>ROUND((T67-P67)/P67,2)</f>
        <v>0.31</v>
      </c>
      <c r="U77" s="1058"/>
      <c r="V77" s="1069"/>
      <c r="W77" s="1183"/>
      <c r="X77" s="1183"/>
      <c r="Y77" s="1183"/>
      <c r="Z77" s="484"/>
      <c r="AA77" s="111"/>
      <c r="AB77" s="111"/>
      <c r="AD77" s="473"/>
      <c r="AE77" s="4"/>
      <c r="AF77" s="4"/>
      <c r="AG77" s="4"/>
      <c r="AH77" s="4"/>
      <c r="AI77" s="4"/>
      <c r="AL77"/>
      <c r="AS77" s="625"/>
      <c r="AU77" s="1003"/>
    </row>
    <row r="78" spans="1:50" ht="3" customHeight="1" thickTop="1" x14ac:dyDescent="0.2">
      <c r="E78" s="676"/>
      <c r="G78" s="153"/>
      <c r="U78" s="5"/>
      <c r="V78" s="1069"/>
      <c r="W78" s="1183"/>
      <c r="X78" s="1183"/>
      <c r="Y78" s="1183"/>
    </row>
    <row r="79" spans="1:50" ht="4.5" customHeight="1" x14ac:dyDescent="0.2">
      <c r="E79" s="676"/>
      <c r="G79" s="153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U79" s="153"/>
      <c r="V79" s="1069"/>
      <c r="W79" s="1183"/>
      <c r="X79" s="1183"/>
      <c r="Y79" s="1183"/>
      <c r="AX79" s="84"/>
    </row>
    <row r="80" spans="1:50" ht="3.75" customHeight="1" x14ac:dyDescent="0.2">
      <c r="D80" s="4"/>
      <c r="E80" s="13"/>
      <c r="F80" s="676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82"/>
      <c r="S80" s="138"/>
      <c r="U80" s="153"/>
      <c r="V80" s="1069"/>
      <c r="W80" s="1183"/>
      <c r="X80" s="1183"/>
      <c r="Y80" s="1183"/>
      <c r="AD80" s="138"/>
      <c r="AX80" s="84"/>
    </row>
    <row r="81" spans="2:50" ht="9" customHeight="1" x14ac:dyDescent="0.2">
      <c r="C81" s="475"/>
      <c r="D81" s="17"/>
      <c r="E81" s="18"/>
      <c r="F81" s="676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V81" s="1061"/>
      <c r="W81" s="1183"/>
      <c r="X81" s="1183"/>
      <c r="Y81" s="1183"/>
      <c r="AD81" s="138"/>
      <c r="AX81" s="84"/>
    </row>
    <row r="82" spans="2:50" x14ac:dyDescent="0.2">
      <c r="B82" s="1" t="s">
        <v>479</v>
      </c>
      <c r="C82" s="474"/>
      <c r="D82" s="17"/>
      <c r="E82" s="18"/>
      <c r="F82" s="676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X82" s="1061"/>
      <c r="Y82" s="1117"/>
      <c r="AD82" s="138"/>
      <c r="AX82" s="84"/>
    </row>
    <row r="83" spans="2:50" x14ac:dyDescent="0.2">
      <c r="B83" s="1096" t="s">
        <v>480</v>
      </c>
      <c r="D83" s="592"/>
      <c r="E83" s="594"/>
      <c r="F83" s="676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060">
        <v>10</v>
      </c>
      <c r="V83" s="1061"/>
      <c r="W83" s="1184" t="s">
        <v>437</v>
      </c>
      <c r="X83" s="1184"/>
      <c r="Y83" s="1184"/>
      <c r="Z83" s="138"/>
    </row>
    <row r="84" spans="2:50" x14ac:dyDescent="0.2">
      <c r="C84" s="474"/>
      <c r="D84" s="592"/>
      <c r="E84" s="594"/>
      <c r="F84" s="676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184"/>
      <c r="X84" s="1184"/>
      <c r="Y84" s="1184"/>
      <c r="AD84" s="138"/>
    </row>
    <row r="85" spans="2:50" x14ac:dyDescent="0.2">
      <c r="C85" s="474"/>
      <c r="D85" s="17"/>
      <c r="E85" s="18"/>
      <c r="F85" s="676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U85" s="1060">
        <v>11</v>
      </c>
      <c r="V85" s="138"/>
      <c r="W85" s="1061" t="s">
        <v>478</v>
      </c>
      <c r="X85" s="138"/>
      <c r="Y85" s="676"/>
      <c r="AD85" s="138"/>
    </row>
    <row r="86" spans="2:50" x14ac:dyDescent="0.2">
      <c r="C86" s="474"/>
      <c r="D86" s="592"/>
      <c r="E86" s="594"/>
      <c r="F86" s="676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676"/>
      <c r="AD86" s="138"/>
    </row>
    <row r="87" spans="2:50" x14ac:dyDescent="0.2">
      <c r="C87" s="474"/>
      <c r="D87" s="592"/>
      <c r="E87" s="594"/>
      <c r="F87" s="676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676"/>
      <c r="AD87" s="138"/>
    </row>
    <row r="88" spans="2:50" x14ac:dyDescent="0.2">
      <c r="C88" s="474"/>
      <c r="D88" s="592"/>
      <c r="E88" s="594"/>
      <c r="F88" s="676"/>
      <c r="G88" s="138"/>
      <c r="H88" s="82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82"/>
      <c r="T88" s="82"/>
      <c r="U88" s="82"/>
      <c r="V88" s="82"/>
      <c r="W88" s="138"/>
      <c r="X88" s="138"/>
      <c r="Y88" s="677"/>
      <c r="Z88" s="138"/>
      <c r="AD88" s="82"/>
    </row>
    <row r="89" spans="2:50" x14ac:dyDescent="0.2">
      <c r="C89" s="474"/>
      <c r="D89" s="592"/>
      <c r="E89" s="594"/>
      <c r="F89" s="676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Y89" s="676"/>
      <c r="AD89" s="138"/>
    </row>
    <row r="90" spans="2:50" x14ac:dyDescent="0.2">
      <c r="C90" s="474"/>
      <c r="D90" s="592"/>
      <c r="E90" s="594"/>
    </row>
    <row r="91" spans="2:50" x14ac:dyDescent="0.2">
      <c r="E91" s="676"/>
      <c r="F91" s="676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Y91" s="676"/>
      <c r="AD91" s="138"/>
    </row>
    <row r="92" spans="2:50" x14ac:dyDescent="0.2">
      <c r="E92" s="676"/>
      <c r="F92" s="676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Y92" s="676"/>
      <c r="AD92" s="138"/>
    </row>
    <row r="93" spans="2:50" x14ac:dyDescent="0.2">
      <c r="D93" s="154"/>
      <c r="E93" s="677"/>
      <c r="F93" s="676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Y93" s="676"/>
      <c r="AD93" s="138"/>
    </row>
    <row r="94" spans="2:50" x14ac:dyDescent="0.2">
      <c r="D94" s="154"/>
      <c r="E94" s="676"/>
      <c r="F94" s="676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Y94" s="676"/>
      <c r="AD94" s="138"/>
    </row>
    <row r="95" spans="2:50" x14ac:dyDescent="0.2">
      <c r="E95" s="676"/>
      <c r="F95" s="676"/>
      <c r="G95" s="138"/>
      <c r="H95" s="82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82"/>
      <c r="T95" s="82"/>
      <c r="U95" s="82"/>
      <c r="V95" s="82"/>
      <c r="Y95" s="677"/>
      <c r="AD95" s="82"/>
    </row>
    <row r="97" spans="4:30" x14ac:dyDescent="0.2">
      <c r="E97" s="676"/>
      <c r="F97" s="676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Y97" s="676"/>
      <c r="AD97" s="138"/>
    </row>
    <row r="98" spans="4:30" x14ac:dyDescent="0.2">
      <c r="E98" s="676"/>
      <c r="F98" s="676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Y98" s="676"/>
      <c r="AD98" s="138"/>
    </row>
    <row r="99" spans="4:30" x14ac:dyDescent="0.2">
      <c r="D99" s="154"/>
      <c r="E99" s="677"/>
      <c r="F99" s="676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Y99" s="676"/>
      <c r="AD99" s="138"/>
    </row>
    <row r="100" spans="4:30" x14ac:dyDescent="0.2">
      <c r="D100" s="154"/>
      <c r="E100" s="676"/>
      <c r="F100" s="676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Y100" s="676"/>
      <c r="AD100" s="138"/>
    </row>
    <row r="101" spans="4:30" x14ac:dyDescent="0.2">
      <c r="E101" s="676"/>
      <c r="F101" s="676"/>
      <c r="G101" s="138"/>
      <c r="H101" s="82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82"/>
      <c r="T101" s="82"/>
      <c r="U101" s="82"/>
      <c r="V101" s="82"/>
      <c r="Y101" s="677"/>
      <c r="AD101" s="82"/>
    </row>
    <row r="103" spans="4:30" x14ac:dyDescent="0.2">
      <c r="E103" s="676"/>
      <c r="F103" s="676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Y103" s="676"/>
      <c r="AD103" s="138"/>
    </row>
    <row r="104" spans="4:30" x14ac:dyDescent="0.2">
      <c r="E104" s="676"/>
      <c r="F104" s="676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Y104" s="676"/>
      <c r="AD104" s="138"/>
    </row>
    <row r="105" spans="4:30" x14ac:dyDescent="0.2">
      <c r="D105" s="154"/>
      <c r="E105" s="677"/>
      <c r="F105" s="676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Y105" s="676"/>
      <c r="AD105" s="138"/>
    </row>
    <row r="106" spans="4:30" x14ac:dyDescent="0.2">
      <c r="D106" s="154"/>
      <c r="E106" s="676"/>
      <c r="F106" s="676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Y106" s="676"/>
      <c r="AD106" s="138"/>
    </row>
    <row r="107" spans="4:30" x14ac:dyDescent="0.2">
      <c r="E107" s="676"/>
      <c r="F107" s="676"/>
      <c r="G107" s="138"/>
      <c r="H107" s="82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82"/>
      <c r="T107" s="82"/>
      <c r="U107" s="82"/>
      <c r="V107" s="82"/>
      <c r="Y107" s="677"/>
      <c r="AD107" s="82"/>
    </row>
    <row r="109" spans="4:30" x14ac:dyDescent="0.2">
      <c r="E109" s="676"/>
      <c r="F109" s="676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Y109" s="676"/>
      <c r="AD109" s="138"/>
    </row>
    <row r="110" spans="4:30" x14ac:dyDescent="0.2">
      <c r="E110" s="676"/>
      <c r="F110" s="676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Y110" s="676"/>
      <c r="AD110" s="138"/>
    </row>
    <row r="111" spans="4:30" x14ac:dyDescent="0.2">
      <c r="D111" s="154"/>
      <c r="E111" s="677"/>
      <c r="F111" s="676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Y111" s="676"/>
      <c r="AD111" s="138"/>
    </row>
    <row r="112" spans="4:30" x14ac:dyDescent="0.2">
      <c r="D112" s="154"/>
      <c r="E112" s="676"/>
      <c r="F112" s="676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Y112" s="676"/>
      <c r="AD112" s="138"/>
    </row>
    <row r="113" spans="2:30" x14ac:dyDescent="0.2">
      <c r="E113" s="676"/>
      <c r="F113" s="676"/>
      <c r="G113" s="138"/>
      <c r="H113" s="82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82"/>
      <c r="T113" s="82"/>
      <c r="U113" s="82"/>
      <c r="V113" s="82"/>
      <c r="Y113" s="677"/>
      <c r="AD113" s="82"/>
    </row>
    <row r="116" spans="2:30" x14ac:dyDescent="0.2">
      <c r="H116" s="477"/>
      <c r="S116" s="477"/>
      <c r="T116" s="477"/>
      <c r="U116" s="477"/>
      <c r="V116" s="477"/>
    </row>
    <row r="118" spans="2:30" x14ac:dyDescent="0.2">
      <c r="B118" s="489"/>
      <c r="C118" s="1155"/>
      <c r="D118" s="1155"/>
      <c r="E118" s="1155"/>
      <c r="F118" s="1155"/>
      <c r="G118" s="1155"/>
      <c r="H118" s="1155"/>
      <c r="I118" s="1155"/>
      <c r="J118" s="1155"/>
      <c r="K118" s="1155"/>
      <c r="L118" s="1155"/>
      <c r="M118" s="1155"/>
      <c r="N118" s="1155"/>
      <c r="O118" s="1155"/>
      <c r="P118" s="1155"/>
      <c r="Q118" s="1155"/>
      <c r="R118" s="1155"/>
      <c r="S118" s="1155"/>
      <c r="T118" s="1155"/>
      <c r="U118" s="1155"/>
      <c r="V118" s="1155"/>
      <c r="W118" s="1155"/>
      <c r="X118" s="1155"/>
      <c r="Y118" s="1155"/>
      <c r="Z118" s="1155"/>
    </row>
    <row r="119" spans="2:30" x14ac:dyDescent="0.2">
      <c r="B119" s="490"/>
      <c r="C119" s="1155"/>
      <c r="D119" s="1155"/>
      <c r="E119" s="1155"/>
      <c r="F119" s="1155"/>
      <c r="G119" s="1155"/>
      <c r="H119" s="1155"/>
      <c r="I119" s="1155"/>
      <c r="J119" s="1155"/>
      <c r="K119" s="1155"/>
      <c r="L119" s="1155"/>
      <c r="M119" s="1155"/>
      <c r="N119" s="1155"/>
      <c r="O119" s="1155"/>
      <c r="P119" s="1155"/>
      <c r="Q119" s="1155"/>
      <c r="R119" s="1155"/>
      <c r="S119" s="1155"/>
      <c r="T119" s="1155"/>
      <c r="U119" s="1155"/>
      <c r="V119" s="1155"/>
      <c r="W119" s="1155"/>
      <c r="X119" s="1155"/>
      <c r="Y119" s="1155"/>
      <c r="Z119" s="1155"/>
    </row>
    <row r="120" spans="2:30" x14ac:dyDescent="0.2">
      <c r="B120" s="490"/>
      <c r="C120" s="491"/>
      <c r="D120" s="492"/>
      <c r="E120" s="678"/>
      <c r="F120" s="678"/>
      <c r="G120" s="492"/>
      <c r="H120" s="492"/>
      <c r="I120" s="626"/>
      <c r="J120" s="626"/>
      <c r="K120" s="626"/>
      <c r="L120" s="626"/>
      <c r="M120" s="626"/>
      <c r="N120" s="626"/>
      <c r="O120" s="626"/>
      <c r="P120" s="626"/>
      <c r="Q120" s="626"/>
      <c r="R120" s="626"/>
      <c r="S120" s="492"/>
      <c r="T120" s="492"/>
      <c r="U120" s="492"/>
      <c r="V120" s="492"/>
      <c r="W120" s="492"/>
      <c r="X120" s="492"/>
      <c r="Y120" s="678"/>
      <c r="Z120" s="492"/>
    </row>
    <row r="121" spans="2:30" x14ac:dyDescent="0.2">
      <c r="I121" s="82"/>
      <c r="J121" s="82"/>
      <c r="K121" s="82"/>
      <c r="L121" s="82"/>
      <c r="M121" s="82"/>
      <c r="N121" s="82"/>
      <c r="O121" s="82"/>
      <c r="P121" s="82"/>
      <c r="Q121" s="82"/>
      <c r="R121" s="82"/>
    </row>
  </sheetData>
  <mergeCells count="100">
    <mergeCell ref="W67:Y68"/>
    <mergeCell ref="W69:Y71"/>
    <mergeCell ref="AS58:AS59"/>
    <mergeCell ref="P57:P59"/>
    <mergeCell ref="I44:J44"/>
    <mergeCell ref="R44:S44"/>
    <mergeCell ref="J45:J46"/>
    <mergeCell ref="R45:R46"/>
    <mergeCell ref="N45:N46"/>
    <mergeCell ref="O45:O46"/>
    <mergeCell ref="P45:P46"/>
    <mergeCell ref="Q45:Q46"/>
    <mergeCell ref="O57:O59"/>
    <mergeCell ref="T58:T59"/>
    <mergeCell ref="Q57:T57"/>
    <mergeCell ref="I45:I46"/>
    <mergeCell ref="C34:D34"/>
    <mergeCell ref="C35:C39"/>
    <mergeCell ref="B44:D45"/>
    <mergeCell ref="K5:K6"/>
    <mergeCell ref="K32:K33"/>
    <mergeCell ref="G45:G46"/>
    <mergeCell ref="B31:D32"/>
    <mergeCell ref="C46:D46"/>
    <mergeCell ref="E32:E33"/>
    <mergeCell ref="F32:F33"/>
    <mergeCell ref="E45:E46"/>
    <mergeCell ref="F45:F46"/>
    <mergeCell ref="C8:C23"/>
    <mergeCell ref="C24:C27"/>
    <mergeCell ref="S45:S46"/>
    <mergeCell ref="N57:N59"/>
    <mergeCell ref="P32:P33"/>
    <mergeCell ref="K45:K46"/>
    <mergeCell ref="L45:L46"/>
    <mergeCell ref="L32:L33"/>
    <mergeCell ref="C118:Z119"/>
    <mergeCell ref="C60:D60"/>
    <mergeCell ref="C59:D59"/>
    <mergeCell ref="C48:C51"/>
    <mergeCell ref="B57:D58"/>
    <mergeCell ref="E57:E59"/>
    <mergeCell ref="G57:G59"/>
    <mergeCell ref="S58:S59"/>
    <mergeCell ref="U58:U59"/>
    <mergeCell ref="H57:H59"/>
    <mergeCell ref="K57:K59"/>
    <mergeCell ref="R58:R59"/>
    <mergeCell ref="Q58:Q59"/>
    <mergeCell ref="W76:Y81"/>
    <mergeCell ref="W83:Y84"/>
    <mergeCell ref="W61:Y62"/>
    <mergeCell ref="U5:U6"/>
    <mergeCell ref="P5:P6"/>
    <mergeCell ref="Q5:Q6"/>
    <mergeCell ref="B1:Z1"/>
    <mergeCell ref="G5:G6"/>
    <mergeCell ref="H5:H6"/>
    <mergeCell ref="S5:S6"/>
    <mergeCell ref="T5:T6"/>
    <mergeCell ref="J5:J6"/>
    <mergeCell ref="R5:R6"/>
    <mergeCell ref="W4:X4"/>
    <mergeCell ref="W5:X5"/>
    <mergeCell ref="L5:L6"/>
    <mergeCell ref="N5:N6"/>
    <mergeCell ref="O5:O6"/>
    <mergeCell ref="Q32:Q33"/>
    <mergeCell ref="N32:N33"/>
    <mergeCell ref="O32:O33"/>
    <mergeCell ref="I32:I33"/>
    <mergeCell ref="U32:U33"/>
    <mergeCell ref="T32:T33"/>
    <mergeCell ref="J32:J33"/>
    <mergeCell ref="R32:R33"/>
    <mergeCell ref="S32:S33"/>
    <mergeCell ref="C47:D47"/>
    <mergeCell ref="AS5:AS6"/>
    <mergeCell ref="AS32:AS33"/>
    <mergeCell ref="AS45:AS46"/>
    <mergeCell ref="B4:D5"/>
    <mergeCell ref="C6:D6"/>
    <mergeCell ref="T45:T46"/>
    <mergeCell ref="H32:H33"/>
    <mergeCell ref="H45:H46"/>
    <mergeCell ref="E5:E6"/>
    <mergeCell ref="F5:F6"/>
    <mergeCell ref="I5:I6"/>
    <mergeCell ref="C7:D7"/>
    <mergeCell ref="W32:W33"/>
    <mergeCell ref="C33:D33"/>
    <mergeCell ref="G32:G33"/>
    <mergeCell ref="BC5:BC6"/>
    <mergeCell ref="AV5:AV6"/>
    <mergeCell ref="AW5:AW6"/>
    <mergeCell ref="AX5:AX6"/>
    <mergeCell ref="AY5:AY6"/>
    <mergeCell ref="AZ5:AZ6"/>
    <mergeCell ref="BA5:BA6"/>
    <mergeCell ref="BB5:BB6"/>
  </mergeCells>
  <phoneticPr fontId="79" type="noConversion"/>
  <pageMargins left="0.25" right="0.25" top="0.75" bottom="0.75" header="0.3" footer="0.3"/>
  <pageSetup paperSize="9" scale="54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5"/>
  <sheetViews>
    <sheetView workbookViewId="0">
      <selection activeCell="Q28" sqref="Q28"/>
    </sheetView>
  </sheetViews>
  <sheetFormatPr baseColWidth="10" defaultColWidth="8.83203125" defaultRowHeight="15" x14ac:dyDescent="0.2"/>
  <cols>
    <col min="2" max="2" width="18.5" bestFit="1" customWidth="1"/>
    <col min="7" max="7" width="18.6640625" customWidth="1"/>
    <col min="8" max="11" width="12.6640625" customWidth="1"/>
  </cols>
  <sheetData>
    <row r="5" spans="2:11" x14ac:dyDescent="0.2">
      <c r="B5" s="969"/>
      <c r="C5" s="1194" t="s">
        <v>442</v>
      </c>
      <c r="D5" s="1195"/>
      <c r="E5" s="1196" t="s">
        <v>443</v>
      </c>
    </row>
    <row r="6" spans="2:11" x14ac:dyDescent="0.2">
      <c r="B6" s="970" t="s">
        <v>444</v>
      </c>
      <c r="C6" s="972"/>
      <c r="D6" s="971"/>
      <c r="E6" s="1197"/>
    </row>
    <row r="7" spans="2:11" x14ac:dyDescent="0.2">
      <c r="B7" s="975"/>
      <c r="C7" s="973" t="s">
        <v>391</v>
      </c>
      <c r="D7" s="974" t="s">
        <v>426</v>
      </c>
      <c r="E7" s="1197"/>
    </row>
    <row r="8" spans="2:11" x14ac:dyDescent="0.2">
      <c r="B8" s="976"/>
      <c r="C8" s="977"/>
      <c r="D8" s="978"/>
      <c r="E8" s="1198"/>
    </row>
    <row r="9" spans="2:11" x14ac:dyDescent="0.2">
      <c r="B9" s="980" t="s">
        <v>445</v>
      </c>
      <c r="C9" s="979">
        <v>63.85</v>
      </c>
      <c r="D9" s="982">
        <v>66.290000000000006</v>
      </c>
      <c r="E9" s="981">
        <v>3.8214565387627325E-2</v>
      </c>
    </row>
    <row r="10" spans="2:11" ht="16" x14ac:dyDescent="0.2">
      <c r="G10" s="984" t="s">
        <v>446</v>
      </c>
      <c r="H10" s="983"/>
      <c r="I10" s="983"/>
      <c r="J10" s="983"/>
      <c r="K10" s="983"/>
    </row>
    <row r="11" spans="2:11" ht="16" x14ac:dyDescent="0.2">
      <c r="G11" s="983"/>
      <c r="H11" s="983"/>
      <c r="I11" s="983"/>
      <c r="J11" s="983"/>
      <c r="K11" s="983"/>
    </row>
    <row r="12" spans="2:11" ht="16" x14ac:dyDescent="0.2">
      <c r="G12" s="1199" t="s">
        <v>447</v>
      </c>
      <c r="H12" s="1200"/>
      <c r="I12" s="1200"/>
      <c r="J12" s="1200"/>
      <c r="K12" s="1201"/>
    </row>
    <row r="13" spans="2:11" ht="32" x14ac:dyDescent="0.2">
      <c r="G13" s="985"/>
      <c r="H13" s="986" t="s">
        <v>448</v>
      </c>
      <c r="I13" s="986" t="s">
        <v>391</v>
      </c>
      <c r="J13" s="986" t="s">
        <v>426</v>
      </c>
      <c r="K13" s="986" t="s">
        <v>449</v>
      </c>
    </row>
    <row r="14" spans="2:11" ht="32" x14ac:dyDescent="0.2">
      <c r="G14" s="987" t="s">
        <v>450</v>
      </c>
      <c r="H14" s="988" t="s">
        <v>451</v>
      </c>
      <c r="I14" s="988" t="s">
        <v>451</v>
      </c>
      <c r="J14" s="988" t="s">
        <v>451</v>
      </c>
      <c r="K14" s="988" t="s">
        <v>451</v>
      </c>
    </row>
    <row r="15" spans="2:11" ht="16" x14ac:dyDescent="0.2">
      <c r="G15" s="989" t="s">
        <v>445</v>
      </c>
      <c r="H15" s="990">
        <v>139.25</v>
      </c>
      <c r="I15" s="990">
        <v>92.833333333333329</v>
      </c>
      <c r="J15" s="990">
        <v>46.416666666666664</v>
      </c>
      <c r="K15" s="990">
        <v>0</v>
      </c>
    </row>
  </sheetData>
  <mergeCells count="3">
    <mergeCell ref="C5:D5"/>
    <mergeCell ref="E5:E8"/>
    <mergeCell ref="G12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6"/>
  <sheetViews>
    <sheetView workbookViewId="0"/>
  </sheetViews>
  <sheetFormatPr baseColWidth="10" defaultColWidth="9.1640625" defaultRowHeight="19" x14ac:dyDescent="0.25"/>
  <cols>
    <col min="1" max="1" width="11.1640625" style="155" customWidth="1"/>
    <col min="2" max="2" width="11.83203125" style="155" customWidth="1"/>
    <col min="3" max="3" width="19.6640625" style="155" customWidth="1"/>
    <col min="4" max="4" width="51.5" style="267" customWidth="1"/>
    <col min="5" max="5" width="30.1640625" style="267" customWidth="1"/>
    <col min="6" max="6" width="12.83203125" style="155" customWidth="1"/>
    <col min="7" max="7" width="13" style="155" customWidth="1"/>
    <col min="8" max="8" width="11.83203125" style="155" customWidth="1"/>
    <col min="9" max="9" width="10.5" style="155" customWidth="1"/>
    <col min="10" max="10" width="11.33203125" style="155" customWidth="1"/>
    <col min="11" max="11" width="13.1640625" style="155" customWidth="1"/>
    <col min="12" max="12" width="17.5" style="155" customWidth="1"/>
    <col min="13" max="13" width="15.83203125" style="155" customWidth="1"/>
    <col min="14" max="14" width="17.5" style="155" customWidth="1"/>
    <col min="15" max="16" width="13.83203125" style="155" customWidth="1"/>
    <col min="17" max="17" width="15.1640625" style="155" customWidth="1"/>
    <col min="18" max="18" width="10.5" style="269" customWidth="1"/>
    <col min="19" max="19" width="9.1640625" style="159"/>
    <col min="20" max="20" width="13.5" style="160" bestFit="1" customWidth="1"/>
    <col min="21" max="21" width="9.1640625" style="161"/>
    <col min="22" max="22" width="2.5" style="159" customWidth="1"/>
    <col min="23" max="23" width="9.83203125" style="266" customWidth="1"/>
    <col min="24" max="24" width="30.83203125" style="163" customWidth="1"/>
    <col min="25" max="25" width="1.6640625" style="163" customWidth="1"/>
    <col min="26" max="32" width="9.1640625" style="159"/>
    <col min="33" max="16384" width="9.1640625" style="155"/>
  </cols>
  <sheetData>
    <row r="1" spans="1:32" ht="19.5" customHeight="1" x14ac:dyDescent="0.25">
      <c r="B1" s="1202" t="s">
        <v>69</v>
      </c>
      <c r="C1" s="1202"/>
      <c r="D1" s="1202"/>
      <c r="E1" s="1202"/>
      <c r="F1" s="1202"/>
      <c r="G1" s="1202"/>
      <c r="H1" s="1202"/>
      <c r="I1" s="1203"/>
      <c r="J1" s="1204" t="s">
        <v>70</v>
      </c>
      <c r="K1" s="1205"/>
      <c r="L1" s="1205"/>
      <c r="M1" s="1205"/>
      <c r="N1" s="1205"/>
      <c r="O1" s="1205"/>
      <c r="P1" s="156"/>
      <c r="Q1" s="157"/>
      <c r="R1" s="158"/>
      <c r="W1" s="162" t="s">
        <v>71</v>
      </c>
    </row>
    <row r="2" spans="1:32" s="173" customFormat="1" ht="43.5" customHeight="1" x14ac:dyDescent="0.25">
      <c r="A2" s="164" t="s">
        <v>72</v>
      </c>
      <c r="B2" s="164" t="s">
        <v>73</v>
      </c>
      <c r="C2" s="164" t="s">
        <v>74</v>
      </c>
      <c r="D2" s="165" t="s">
        <v>75</v>
      </c>
      <c r="E2" s="164" t="s">
        <v>76</v>
      </c>
      <c r="F2" s="164" t="s">
        <v>77</v>
      </c>
      <c r="G2" s="164" t="s">
        <v>78</v>
      </c>
      <c r="H2" s="164" t="s">
        <v>79</v>
      </c>
      <c r="I2" s="166" t="s">
        <v>80</v>
      </c>
      <c r="J2" s="167" t="s">
        <v>81</v>
      </c>
      <c r="K2" s="164" t="s">
        <v>82</v>
      </c>
      <c r="L2" s="164" t="s">
        <v>83</v>
      </c>
      <c r="M2" s="164" t="s">
        <v>84</v>
      </c>
      <c r="N2" s="164" t="s">
        <v>85</v>
      </c>
      <c r="O2" s="164" t="s">
        <v>80</v>
      </c>
      <c r="P2" s="164" t="s">
        <v>86</v>
      </c>
      <c r="Q2" s="164" t="s">
        <v>87</v>
      </c>
      <c r="R2" s="168"/>
      <c r="S2" s="169"/>
      <c r="T2" s="170" t="s">
        <v>88</v>
      </c>
      <c r="U2" s="171" t="s">
        <v>89</v>
      </c>
      <c r="V2" s="169"/>
      <c r="W2" s="172" t="s">
        <v>90</v>
      </c>
      <c r="X2" s="172" t="s">
        <v>91</v>
      </c>
      <c r="Y2" s="163"/>
      <c r="Z2" s="169"/>
      <c r="AA2" s="169"/>
      <c r="AB2" s="169"/>
      <c r="AC2" s="169"/>
      <c r="AD2" s="169"/>
      <c r="AE2" s="169"/>
      <c r="AF2" s="169"/>
    </row>
    <row r="3" spans="1:32" s="180" customFormat="1" ht="17" x14ac:dyDescent="0.25">
      <c r="A3" s="174"/>
      <c r="B3" s="175"/>
      <c r="C3" s="176"/>
      <c r="D3" s="176"/>
      <c r="E3" s="176"/>
      <c r="F3" s="175"/>
      <c r="G3" s="174">
        <v>1500</v>
      </c>
      <c r="H3" s="174">
        <v>0</v>
      </c>
      <c r="I3" s="177">
        <v>21.18</v>
      </c>
      <c r="J3" s="178">
        <v>210</v>
      </c>
      <c r="K3" s="174">
        <v>379.35</v>
      </c>
      <c r="L3" s="174">
        <v>45.04</v>
      </c>
      <c r="M3" s="174">
        <v>65</v>
      </c>
      <c r="N3" s="174">
        <v>300.77</v>
      </c>
      <c r="O3" s="174">
        <v>11.44</v>
      </c>
      <c r="P3" s="174"/>
      <c r="Q3" s="174">
        <v>714.76</v>
      </c>
      <c r="R3" s="179"/>
      <c r="T3" s="160"/>
      <c r="U3" s="161"/>
      <c r="Y3" s="171"/>
    </row>
    <row r="4" spans="1:32" s="180" customFormat="1" x14ac:dyDescent="0.25">
      <c r="A4" s="174"/>
      <c r="B4" s="175"/>
      <c r="C4" s="176"/>
      <c r="D4" s="176" t="s">
        <v>92</v>
      </c>
      <c r="E4" s="176"/>
      <c r="F4" s="175"/>
      <c r="G4" s="174"/>
      <c r="H4" s="174"/>
      <c r="I4" s="177"/>
      <c r="J4" s="178">
        <f t="shared" ref="J4:O4" si="0">J3-J33</f>
        <v>-250</v>
      </c>
      <c r="K4" s="178">
        <f t="shared" si="0"/>
        <v>109.08000000000004</v>
      </c>
      <c r="L4" s="178">
        <f t="shared" si="0"/>
        <v>1.4600000000000009</v>
      </c>
      <c r="M4" s="178">
        <f t="shared" si="0"/>
        <v>-49.239999999999995</v>
      </c>
      <c r="N4" s="178">
        <f t="shared" si="0"/>
        <v>-30</v>
      </c>
      <c r="O4" s="178">
        <f t="shared" si="0"/>
        <v>-5.0299999999999994</v>
      </c>
      <c r="P4" s="178"/>
      <c r="Q4" s="174"/>
      <c r="R4" s="179"/>
      <c r="T4" s="160"/>
      <c r="U4" s="161"/>
      <c r="W4" s="181"/>
      <c r="X4" s="182"/>
      <c r="Y4" s="182"/>
    </row>
    <row r="5" spans="1:32" s="180" customFormat="1" x14ac:dyDescent="0.25">
      <c r="A5" s="183"/>
      <c r="B5" s="184">
        <v>39924</v>
      </c>
      <c r="C5" s="185"/>
      <c r="D5" s="186" t="s">
        <v>93</v>
      </c>
      <c r="E5" s="186"/>
      <c r="F5" s="187"/>
      <c r="G5" s="183"/>
      <c r="H5" s="183"/>
      <c r="I5" s="188">
        <v>13.28</v>
      </c>
      <c r="J5" s="189"/>
      <c r="K5" s="183"/>
      <c r="L5" s="183"/>
      <c r="M5" s="190"/>
      <c r="N5" s="190"/>
      <c r="O5" s="190"/>
      <c r="P5" s="190"/>
      <c r="Q5" s="191">
        <v>728.04</v>
      </c>
      <c r="R5" s="187" t="s">
        <v>94</v>
      </c>
      <c r="T5" s="160">
        <f>Q3+SUM(G5:I5)-SUM(J5:O5)</f>
        <v>728.04</v>
      </c>
      <c r="U5" s="161" t="str">
        <f>IF(Q5=T5,"","ERROR")</f>
        <v/>
      </c>
      <c r="W5" s="181"/>
      <c r="X5" s="182"/>
      <c r="Y5" s="182"/>
    </row>
    <row r="6" spans="1:32" s="180" customFormat="1" x14ac:dyDescent="0.25">
      <c r="A6" s="192"/>
      <c r="B6" s="193">
        <v>39932</v>
      </c>
      <c r="C6" s="194"/>
      <c r="D6" s="195" t="s">
        <v>47</v>
      </c>
      <c r="E6" s="195"/>
      <c r="F6" s="196"/>
      <c r="G6" s="197">
        <v>750</v>
      </c>
      <c r="H6" s="192"/>
      <c r="I6" s="198"/>
      <c r="J6" s="199"/>
      <c r="K6" s="200"/>
      <c r="L6" s="200"/>
      <c r="M6" s="201"/>
      <c r="N6" s="201"/>
      <c r="O6" s="201"/>
      <c r="P6" s="201"/>
      <c r="Q6" s="200">
        <v>1478.04</v>
      </c>
      <c r="R6" s="202" t="s">
        <v>94</v>
      </c>
      <c r="T6" s="160">
        <f>Q5+SUM(G6:I6)-SUM(J6:O6)</f>
        <v>1478.04</v>
      </c>
      <c r="U6" s="161"/>
      <c r="W6" s="181"/>
      <c r="X6" s="203"/>
      <c r="Y6" s="182"/>
    </row>
    <row r="7" spans="1:32" s="180" customFormat="1" x14ac:dyDescent="0.25">
      <c r="A7" s="204"/>
      <c r="B7" s="205">
        <v>39938</v>
      </c>
      <c r="C7" s="206"/>
      <c r="D7" s="207" t="s">
        <v>95</v>
      </c>
      <c r="E7" s="207" t="s">
        <v>96</v>
      </c>
      <c r="F7" s="208">
        <v>100266</v>
      </c>
      <c r="G7" s="204"/>
      <c r="H7" s="204"/>
      <c r="I7" s="209"/>
      <c r="J7" s="210"/>
      <c r="K7" s="204">
        <v>168.75</v>
      </c>
      <c r="L7" s="204">
        <v>10.8</v>
      </c>
      <c r="M7" s="204"/>
      <c r="N7" s="204"/>
      <c r="O7" s="204"/>
      <c r="P7" s="211">
        <f>SUM(J7:O7)</f>
        <v>179.55</v>
      </c>
      <c r="Q7" s="212">
        <v>1298.49</v>
      </c>
      <c r="R7" s="208" t="s">
        <v>94</v>
      </c>
      <c r="T7" s="160">
        <f t="shared" ref="T7:T25" si="1">Q6+SUM(G7:I7)-SUM(J7:O7)</f>
        <v>1298.49</v>
      </c>
      <c r="U7" s="161"/>
      <c r="W7" s="181" t="s">
        <v>23</v>
      </c>
      <c r="X7" s="203" t="s">
        <v>96</v>
      </c>
      <c r="Y7" s="182"/>
    </row>
    <row r="8" spans="1:32" s="159" customFormat="1" x14ac:dyDescent="0.25">
      <c r="A8" s="213"/>
      <c r="B8" s="214">
        <v>39938</v>
      </c>
      <c r="C8" s="215"/>
      <c r="D8" s="216" t="s">
        <v>97</v>
      </c>
      <c r="E8" s="207" t="s">
        <v>96</v>
      </c>
      <c r="F8" s="217">
        <v>100267</v>
      </c>
      <c r="G8" s="218"/>
      <c r="H8" s="213"/>
      <c r="I8" s="219"/>
      <c r="J8" s="220"/>
      <c r="K8" s="221"/>
      <c r="L8" s="221"/>
      <c r="M8" s="221"/>
      <c r="N8" s="221">
        <v>105</v>
      </c>
      <c r="O8" s="221"/>
      <c r="P8" s="211">
        <f t="shared" ref="P8:P16" si="2">SUM(J8:O8)</f>
        <v>105</v>
      </c>
      <c r="Q8" s="221">
        <v>1193.49</v>
      </c>
      <c r="R8" s="222" t="s">
        <v>94</v>
      </c>
      <c r="T8" s="160">
        <f t="shared" si="1"/>
        <v>1193.49</v>
      </c>
      <c r="U8" s="161"/>
      <c r="W8" s="181" t="s">
        <v>23</v>
      </c>
      <c r="X8" s="203" t="s">
        <v>96</v>
      </c>
      <c r="Y8" s="182"/>
    </row>
    <row r="9" spans="1:32" s="159" customFormat="1" x14ac:dyDescent="0.25">
      <c r="A9" s="213"/>
      <c r="B9" s="214">
        <v>39938</v>
      </c>
      <c r="C9" s="215"/>
      <c r="D9" s="216" t="s">
        <v>98</v>
      </c>
      <c r="E9" s="207" t="s">
        <v>96</v>
      </c>
      <c r="F9" s="217">
        <v>100268</v>
      </c>
      <c r="G9" s="218"/>
      <c r="H9" s="213"/>
      <c r="I9" s="219"/>
      <c r="J9" s="220"/>
      <c r="K9" s="221"/>
      <c r="L9" s="221"/>
      <c r="M9" s="221"/>
      <c r="N9" s="221">
        <v>25</v>
      </c>
      <c r="O9" s="221"/>
      <c r="P9" s="211">
        <f t="shared" si="2"/>
        <v>25</v>
      </c>
      <c r="Q9" s="221">
        <v>1168.49</v>
      </c>
      <c r="R9" s="222" t="s">
        <v>94</v>
      </c>
      <c r="T9" s="160">
        <f t="shared" si="1"/>
        <v>1168.49</v>
      </c>
      <c r="U9" s="161"/>
      <c r="W9" s="181" t="s">
        <v>23</v>
      </c>
      <c r="X9" s="203" t="s">
        <v>96</v>
      </c>
      <c r="Y9" s="163"/>
    </row>
    <row r="10" spans="1:32" s="159" customFormat="1" x14ac:dyDescent="0.25">
      <c r="A10" s="213"/>
      <c r="B10" s="214">
        <v>39938</v>
      </c>
      <c r="C10" s="215"/>
      <c r="D10" s="216" t="s">
        <v>99</v>
      </c>
      <c r="E10" s="207" t="s">
        <v>96</v>
      </c>
      <c r="F10" s="217">
        <v>100269</v>
      </c>
      <c r="G10" s="218"/>
      <c r="H10" s="213"/>
      <c r="I10" s="219"/>
      <c r="J10" s="223">
        <v>75</v>
      </c>
      <c r="K10" s="221"/>
      <c r="L10" s="221"/>
      <c r="M10" s="221"/>
      <c r="N10" s="221"/>
      <c r="O10" s="221"/>
      <c r="P10" s="211">
        <f t="shared" si="2"/>
        <v>75</v>
      </c>
      <c r="Q10" s="221">
        <v>1093.49</v>
      </c>
      <c r="R10" s="222" t="s">
        <v>94</v>
      </c>
      <c r="T10" s="160">
        <f t="shared" si="1"/>
        <v>1093.49</v>
      </c>
      <c r="U10" s="161"/>
      <c r="W10" s="181" t="s">
        <v>23</v>
      </c>
      <c r="X10" s="203" t="s">
        <v>96</v>
      </c>
      <c r="Y10" s="163"/>
    </row>
    <row r="11" spans="1:32" s="159" customFormat="1" x14ac:dyDescent="0.25">
      <c r="A11" s="213"/>
      <c r="B11" s="214">
        <v>39938</v>
      </c>
      <c r="C11" s="215"/>
      <c r="D11" s="216" t="s">
        <v>100</v>
      </c>
      <c r="E11" s="207" t="s">
        <v>96</v>
      </c>
      <c r="F11" s="217">
        <v>100270</v>
      </c>
      <c r="G11" s="218"/>
      <c r="H11" s="213"/>
      <c r="I11" s="219"/>
      <c r="J11" s="223">
        <v>25</v>
      </c>
      <c r="K11" s="221"/>
      <c r="L11" s="221"/>
      <c r="M11" s="221"/>
      <c r="N11" s="221"/>
      <c r="O11" s="221"/>
      <c r="P11" s="211">
        <f t="shared" si="2"/>
        <v>25</v>
      </c>
      <c r="Q11" s="221">
        <v>1068.49</v>
      </c>
      <c r="R11" s="222" t="s">
        <v>94</v>
      </c>
      <c r="T11" s="160">
        <f t="shared" si="1"/>
        <v>1068.49</v>
      </c>
      <c r="U11" s="161"/>
      <c r="W11" s="181" t="s">
        <v>23</v>
      </c>
      <c r="X11" s="203" t="s">
        <v>96</v>
      </c>
      <c r="Y11" s="163"/>
    </row>
    <row r="12" spans="1:32" s="159" customFormat="1" x14ac:dyDescent="0.25">
      <c r="A12" s="213"/>
      <c r="B12" s="214">
        <v>39938</v>
      </c>
      <c r="C12" s="215"/>
      <c r="D12" s="216" t="s">
        <v>101</v>
      </c>
      <c r="E12" s="207" t="s">
        <v>96</v>
      </c>
      <c r="F12" s="217">
        <v>100271</v>
      </c>
      <c r="G12" s="218"/>
      <c r="H12" s="213"/>
      <c r="I12" s="219"/>
      <c r="J12" s="223">
        <v>50</v>
      </c>
      <c r="K12" s="221"/>
      <c r="L12" s="221"/>
      <c r="M12" s="221"/>
      <c r="N12" s="221"/>
      <c r="O12" s="221"/>
      <c r="P12" s="211">
        <f t="shared" si="2"/>
        <v>50</v>
      </c>
      <c r="Q12" s="221">
        <v>1018.49</v>
      </c>
      <c r="R12" s="217" t="s">
        <v>94</v>
      </c>
      <c r="T12" s="160">
        <f t="shared" si="1"/>
        <v>1018.49</v>
      </c>
      <c r="U12" s="161"/>
      <c r="W12" s="181" t="s">
        <v>23</v>
      </c>
      <c r="X12" s="203" t="s">
        <v>96</v>
      </c>
      <c r="Y12" s="163"/>
    </row>
    <row r="13" spans="1:32" s="159" customFormat="1" x14ac:dyDescent="0.25">
      <c r="A13" s="213"/>
      <c r="B13" s="214">
        <v>39938</v>
      </c>
      <c r="C13" s="215"/>
      <c r="D13" s="216" t="s">
        <v>102</v>
      </c>
      <c r="E13" s="207" t="s">
        <v>96</v>
      </c>
      <c r="F13" s="217">
        <v>100272</v>
      </c>
      <c r="G13" s="218"/>
      <c r="H13" s="213"/>
      <c r="I13" s="219"/>
      <c r="J13" s="223">
        <v>25</v>
      </c>
      <c r="K13" s="221"/>
      <c r="L13" s="221"/>
      <c r="M13" s="221"/>
      <c r="N13" s="221"/>
      <c r="O13" s="221"/>
      <c r="P13" s="211">
        <f t="shared" si="2"/>
        <v>25</v>
      </c>
      <c r="Q13" s="221">
        <v>993.49</v>
      </c>
      <c r="R13" s="217" t="s">
        <v>94</v>
      </c>
      <c r="T13" s="160">
        <f t="shared" si="1"/>
        <v>993.49</v>
      </c>
      <c r="U13" s="161"/>
      <c r="W13" s="181" t="s">
        <v>23</v>
      </c>
      <c r="X13" s="203" t="s">
        <v>96</v>
      </c>
      <c r="Y13" s="182"/>
    </row>
    <row r="14" spans="1:32" s="159" customFormat="1" x14ac:dyDescent="0.25">
      <c r="A14" s="213"/>
      <c r="B14" s="224">
        <v>39938</v>
      </c>
      <c r="C14" s="225"/>
      <c r="D14" s="226" t="s">
        <v>103</v>
      </c>
      <c r="E14" s="207" t="s">
        <v>96</v>
      </c>
      <c r="F14" s="217">
        <v>100273</v>
      </c>
      <c r="G14" s="218"/>
      <c r="H14" s="213"/>
      <c r="I14" s="219"/>
      <c r="J14" s="223">
        <v>10</v>
      </c>
      <c r="K14" s="221"/>
      <c r="L14" s="221"/>
      <c r="M14" s="221"/>
      <c r="N14" s="221"/>
      <c r="O14" s="221"/>
      <c r="P14" s="211">
        <f t="shared" si="2"/>
        <v>10</v>
      </c>
      <c r="Q14" s="221">
        <v>983.49</v>
      </c>
      <c r="R14" s="217" t="s">
        <v>94</v>
      </c>
      <c r="T14" s="160">
        <f t="shared" si="1"/>
        <v>983.49</v>
      </c>
      <c r="U14" s="161"/>
      <c r="W14" s="181" t="s">
        <v>23</v>
      </c>
      <c r="X14" s="203" t="s">
        <v>96</v>
      </c>
      <c r="Y14" s="163"/>
    </row>
    <row r="15" spans="1:32" x14ac:dyDescent="0.25">
      <c r="A15" s="213"/>
      <c r="B15" s="214">
        <v>39938</v>
      </c>
      <c r="C15" s="215"/>
      <c r="D15" s="227" t="s">
        <v>104</v>
      </c>
      <c r="E15" s="207" t="s">
        <v>96</v>
      </c>
      <c r="F15" s="217">
        <v>100274</v>
      </c>
      <c r="G15" s="227"/>
      <c r="H15" s="227"/>
      <c r="I15" s="228"/>
      <c r="J15" s="229">
        <v>250</v>
      </c>
      <c r="K15" s="227"/>
      <c r="L15" s="227"/>
      <c r="M15" s="230"/>
      <c r="N15" s="227"/>
      <c r="O15" s="227"/>
      <c r="P15" s="211">
        <f t="shared" si="2"/>
        <v>250</v>
      </c>
      <c r="Q15" s="231">
        <v>733.49</v>
      </c>
      <c r="R15" s="217"/>
      <c r="T15" s="160">
        <f t="shared" si="1"/>
        <v>733.49</v>
      </c>
      <c r="W15" s="181" t="s">
        <v>105</v>
      </c>
      <c r="X15" s="203" t="s">
        <v>96</v>
      </c>
      <c r="Y15" s="182"/>
    </row>
    <row r="16" spans="1:32" x14ac:dyDescent="0.25">
      <c r="A16" s="213"/>
      <c r="B16" s="214">
        <v>39938</v>
      </c>
      <c r="C16" s="215"/>
      <c r="D16" s="227" t="s">
        <v>106</v>
      </c>
      <c r="E16" s="207" t="s">
        <v>96</v>
      </c>
      <c r="F16" s="217">
        <v>100275</v>
      </c>
      <c r="G16" s="227"/>
      <c r="H16" s="227"/>
      <c r="I16" s="228"/>
      <c r="J16" s="232">
        <v>25</v>
      </c>
      <c r="K16" s="227"/>
      <c r="L16" s="227"/>
      <c r="M16" s="230"/>
      <c r="N16" s="227"/>
      <c r="O16" s="227"/>
      <c r="P16" s="211">
        <f t="shared" si="2"/>
        <v>25</v>
      </c>
      <c r="Q16" s="231">
        <v>708.49</v>
      </c>
      <c r="R16" s="217" t="s">
        <v>94</v>
      </c>
      <c r="T16" s="160">
        <f t="shared" si="1"/>
        <v>708.49</v>
      </c>
      <c r="W16" s="181" t="s">
        <v>23</v>
      </c>
      <c r="X16" s="203" t="s">
        <v>96</v>
      </c>
      <c r="Y16" s="182"/>
    </row>
    <row r="17" spans="1:25" x14ac:dyDescent="0.25">
      <c r="A17" s="213"/>
      <c r="B17" s="214">
        <v>40003</v>
      </c>
      <c r="C17" s="215"/>
      <c r="D17" s="227" t="s">
        <v>107</v>
      </c>
      <c r="E17" s="233"/>
      <c r="F17" s="217">
        <v>100276</v>
      </c>
      <c r="G17" s="227"/>
      <c r="H17" s="227"/>
      <c r="I17" s="228"/>
      <c r="J17" s="234"/>
      <c r="K17" s="227">
        <v>101.52</v>
      </c>
      <c r="L17" s="227">
        <v>32.78</v>
      </c>
      <c r="M17" s="230"/>
      <c r="N17" s="227"/>
      <c r="O17" s="227">
        <v>0.72</v>
      </c>
      <c r="P17" s="235">
        <f t="shared" ref="P17:P22" si="3">SUM(J17:O17)</f>
        <v>135.02000000000001</v>
      </c>
      <c r="Q17" s="231">
        <v>573.47</v>
      </c>
      <c r="R17" s="217" t="s">
        <v>94</v>
      </c>
      <c r="T17" s="160">
        <f t="shared" si="1"/>
        <v>573.47</v>
      </c>
      <c r="W17" s="181" t="s">
        <v>23</v>
      </c>
      <c r="X17" s="203" t="s">
        <v>108</v>
      </c>
      <c r="Y17" s="182"/>
    </row>
    <row r="18" spans="1:25" x14ac:dyDescent="0.25">
      <c r="A18" s="236">
        <f>A17+0.01</f>
        <v>0.01</v>
      </c>
      <c r="B18" s="214">
        <v>40114</v>
      </c>
      <c r="C18" s="215" t="s">
        <v>109</v>
      </c>
      <c r="D18" s="227" t="s">
        <v>110</v>
      </c>
      <c r="E18" s="227" t="s">
        <v>111</v>
      </c>
      <c r="F18" s="217">
        <v>100277</v>
      </c>
      <c r="G18" s="227"/>
      <c r="H18" s="227"/>
      <c r="I18" s="228"/>
      <c r="J18" s="237"/>
      <c r="K18" s="227"/>
      <c r="L18" s="227"/>
      <c r="M18" s="238">
        <v>50</v>
      </c>
      <c r="N18" s="227"/>
      <c r="O18" s="227">
        <v>7.5</v>
      </c>
      <c r="P18" s="235">
        <f t="shared" si="3"/>
        <v>57.5</v>
      </c>
      <c r="Q18" s="239">
        <f t="shared" ref="Q18:Q24" si="4">Q17-SUM(J18:O18)+SUM(G18:I18)</f>
        <v>515.97</v>
      </c>
      <c r="R18" s="217" t="s">
        <v>94</v>
      </c>
      <c r="T18" s="160">
        <f t="shared" si="1"/>
        <v>515.97</v>
      </c>
      <c r="W18" s="181" t="s">
        <v>23</v>
      </c>
      <c r="X18" s="203" t="s">
        <v>111</v>
      </c>
    </row>
    <row r="19" spans="1:25" x14ac:dyDescent="0.25">
      <c r="A19" s="236">
        <f>A18+0.01</f>
        <v>0.02</v>
      </c>
      <c r="B19" s="214">
        <v>40114</v>
      </c>
      <c r="C19" s="215" t="s">
        <v>112</v>
      </c>
      <c r="D19" s="216" t="s">
        <v>113</v>
      </c>
      <c r="E19" s="227" t="s">
        <v>111</v>
      </c>
      <c r="F19" s="217">
        <v>100278</v>
      </c>
      <c r="G19" s="240"/>
      <c r="H19" s="240"/>
      <c r="I19" s="241"/>
      <c r="J19" s="237"/>
      <c r="K19" s="242"/>
      <c r="L19" s="242"/>
      <c r="M19" s="242"/>
      <c r="N19" s="221">
        <v>200.77</v>
      </c>
      <c r="O19" s="242"/>
      <c r="P19" s="235">
        <f t="shared" si="3"/>
        <v>200.77</v>
      </c>
      <c r="Q19" s="239">
        <f t="shared" si="4"/>
        <v>315.20000000000005</v>
      </c>
      <c r="R19" s="217" t="s">
        <v>94</v>
      </c>
      <c r="T19" s="160">
        <f t="shared" si="1"/>
        <v>315.20000000000005</v>
      </c>
      <c r="W19" s="181" t="s">
        <v>23</v>
      </c>
      <c r="X19" s="203" t="s">
        <v>111</v>
      </c>
    </row>
    <row r="20" spans="1:25" x14ac:dyDescent="0.25">
      <c r="A20" s="236">
        <f>A19+0.01</f>
        <v>0.03</v>
      </c>
      <c r="B20" s="214">
        <v>40114</v>
      </c>
      <c r="C20" s="215" t="s">
        <v>114</v>
      </c>
      <c r="D20" s="227" t="s">
        <v>115</v>
      </c>
      <c r="E20" s="227" t="s">
        <v>111</v>
      </c>
      <c r="F20" s="217">
        <v>100279</v>
      </c>
      <c r="G20" s="227"/>
      <c r="H20" s="227"/>
      <c r="I20" s="228"/>
      <c r="J20" s="237"/>
      <c r="K20" s="227"/>
      <c r="L20" s="227"/>
      <c r="M20" s="227">
        <v>24.24</v>
      </c>
      <c r="N20" s="227"/>
      <c r="O20" s="227">
        <v>2.25</v>
      </c>
      <c r="P20" s="235">
        <f t="shared" si="3"/>
        <v>26.49</v>
      </c>
      <c r="Q20" s="239">
        <f t="shared" si="4"/>
        <v>288.71000000000004</v>
      </c>
      <c r="R20" s="217" t="s">
        <v>94</v>
      </c>
      <c r="T20" s="160">
        <f t="shared" si="1"/>
        <v>288.71000000000004</v>
      </c>
      <c r="W20" s="181" t="s">
        <v>23</v>
      </c>
      <c r="X20" s="203" t="s">
        <v>111</v>
      </c>
    </row>
    <row r="21" spans="1:25" x14ac:dyDescent="0.25">
      <c r="A21" s="236">
        <f>A20+0.01</f>
        <v>0.04</v>
      </c>
      <c r="B21" s="214">
        <v>40114</v>
      </c>
      <c r="C21" s="215" t="s">
        <v>114</v>
      </c>
      <c r="D21" s="227" t="s">
        <v>116</v>
      </c>
      <c r="E21" s="227" t="s">
        <v>111</v>
      </c>
      <c r="F21" s="217">
        <v>100280</v>
      </c>
      <c r="G21" s="227"/>
      <c r="H21" s="227"/>
      <c r="I21" s="228"/>
      <c r="J21" s="237"/>
      <c r="K21" s="227"/>
      <c r="L21" s="227"/>
      <c r="M21" s="227">
        <v>8.33</v>
      </c>
      <c r="N21" s="238"/>
      <c r="O21" s="227">
        <v>1.25</v>
      </c>
      <c r="P21" s="235">
        <f t="shared" si="3"/>
        <v>9.58</v>
      </c>
      <c r="Q21" s="239">
        <f t="shared" si="4"/>
        <v>279.13000000000005</v>
      </c>
      <c r="R21" s="217" t="s">
        <v>94</v>
      </c>
      <c r="T21" s="160">
        <f t="shared" si="1"/>
        <v>279.13000000000005</v>
      </c>
      <c r="W21" s="181" t="s">
        <v>23</v>
      </c>
      <c r="X21" s="203" t="s">
        <v>111</v>
      </c>
    </row>
    <row r="22" spans="1:25" x14ac:dyDescent="0.25">
      <c r="A22" s="236">
        <f>A21+0.01</f>
        <v>0.05</v>
      </c>
      <c r="B22" s="214">
        <v>40114</v>
      </c>
      <c r="C22" s="215" t="s">
        <v>114</v>
      </c>
      <c r="D22" s="227" t="s">
        <v>117</v>
      </c>
      <c r="E22" s="227" t="s">
        <v>111</v>
      </c>
      <c r="F22" s="217">
        <v>100281</v>
      </c>
      <c r="G22" s="227"/>
      <c r="H22" s="227"/>
      <c r="I22" s="228"/>
      <c r="J22" s="237"/>
      <c r="K22" s="227"/>
      <c r="L22" s="227"/>
      <c r="M22" s="227">
        <v>8.33</v>
      </c>
      <c r="N22" s="238"/>
      <c r="O22" s="227">
        <v>1.25</v>
      </c>
      <c r="P22" s="235">
        <f t="shared" si="3"/>
        <v>9.58</v>
      </c>
      <c r="Q22" s="239">
        <f t="shared" si="4"/>
        <v>269.55000000000007</v>
      </c>
      <c r="R22" s="217" t="s">
        <v>94</v>
      </c>
      <c r="T22" s="160">
        <f t="shared" si="1"/>
        <v>269.55000000000007</v>
      </c>
      <c r="W22" s="181" t="s">
        <v>23</v>
      </c>
      <c r="X22" s="203" t="s">
        <v>111</v>
      </c>
    </row>
    <row r="23" spans="1:25" x14ac:dyDescent="0.25">
      <c r="A23" s="213"/>
      <c r="B23" s="214">
        <v>40114</v>
      </c>
      <c r="C23" s="215" t="s">
        <v>118</v>
      </c>
      <c r="D23" s="227" t="s">
        <v>104</v>
      </c>
      <c r="E23" s="227"/>
      <c r="F23" s="217">
        <v>100274</v>
      </c>
      <c r="G23" s="227">
        <v>250</v>
      </c>
      <c r="H23" s="227"/>
      <c r="I23" s="228"/>
      <c r="J23" s="237"/>
      <c r="K23" s="227"/>
      <c r="L23" s="227"/>
      <c r="M23" s="227"/>
      <c r="N23" s="238"/>
      <c r="O23" s="227"/>
      <c r="P23" s="243"/>
      <c r="Q23" s="239">
        <f t="shared" si="4"/>
        <v>519.55000000000007</v>
      </c>
      <c r="R23" s="217"/>
      <c r="T23" s="160">
        <f t="shared" si="1"/>
        <v>519.55000000000007</v>
      </c>
      <c r="W23" s="181"/>
      <c r="X23" s="203"/>
    </row>
    <row r="24" spans="1:25" x14ac:dyDescent="0.25">
      <c r="A24" s="213"/>
      <c r="B24" s="214">
        <v>40086</v>
      </c>
      <c r="C24" s="215" t="s">
        <v>119</v>
      </c>
      <c r="D24" s="227" t="s">
        <v>47</v>
      </c>
      <c r="E24" s="227"/>
      <c r="F24" s="217"/>
      <c r="G24" s="227">
        <v>750</v>
      </c>
      <c r="H24" s="227"/>
      <c r="I24" s="228"/>
      <c r="J24" s="237"/>
      <c r="K24" s="227"/>
      <c r="L24" s="227"/>
      <c r="M24" s="227"/>
      <c r="N24" s="238"/>
      <c r="O24" s="227"/>
      <c r="P24" s="243"/>
      <c r="Q24" s="239">
        <f t="shared" si="4"/>
        <v>1269.5500000000002</v>
      </c>
      <c r="R24" s="217" t="s">
        <v>94</v>
      </c>
      <c r="T24" s="160">
        <f t="shared" si="1"/>
        <v>1269.5500000000002</v>
      </c>
      <c r="W24" s="181"/>
      <c r="X24" s="203"/>
      <c r="Y24" s="244"/>
    </row>
    <row r="25" spans="1:25" x14ac:dyDescent="0.25">
      <c r="A25" s="236">
        <f>A22+0.01</f>
        <v>6.0000000000000005E-2</v>
      </c>
      <c r="B25" s="214">
        <v>40168</v>
      </c>
      <c r="C25" s="215" t="s">
        <v>114</v>
      </c>
      <c r="D25" s="227" t="s">
        <v>120</v>
      </c>
      <c r="E25" s="227" t="s">
        <v>121</v>
      </c>
      <c r="F25" s="217">
        <v>100282</v>
      </c>
      <c r="G25" s="227"/>
      <c r="H25" s="227"/>
      <c r="I25" s="228"/>
      <c r="J25" s="237"/>
      <c r="K25" s="227"/>
      <c r="L25" s="227"/>
      <c r="M25" s="227">
        <f>8.34+15</f>
        <v>23.34</v>
      </c>
      <c r="N25" s="238"/>
      <c r="O25" s="227">
        <f>1.25+2.25</f>
        <v>3.5</v>
      </c>
      <c r="P25" s="235">
        <f>SUM(J25:O25)</f>
        <v>26.84</v>
      </c>
      <c r="Q25" s="239">
        <f>Q24-SUM(J25:O25)+SUM(G25:I25)</f>
        <v>1242.7100000000003</v>
      </c>
      <c r="R25" s="217"/>
      <c r="T25" s="160">
        <f t="shared" si="1"/>
        <v>1242.7100000000003</v>
      </c>
      <c r="W25" s="181" t="s">
        <v>23</v>
      </c>
      <c r="X25" s="203" t="s">
        <v>121</v>
      </c>
      <c r="Y25" s="244"/>
    </row>
    <row r="26" spans="1:25" x14ac:dyDescent="0.25">
      <c r="A26" s="213"/>
      <c r="B26" s="214"/>
      <c r="C26" s="215"/>
      <c r="D26" s="227"/>
      <c r="E26" s="227"/>
      <c r="F26" s="217"/>
      <c r="G26" s="227"/>
      <c r="H26" s="227"/>
      <c r="I26" s="228"/>
      <c r="J26" s="237"/>
      <c r="K26" s="227"/>
      <c r="L26" s="227"/>
      <c r="M26" s="227"/>
      <c r="N26" s="238"/>
      <c r="O26" s="227"/>
      <c r="P26" s="243"/>
      <c r="Q26" s="217"/>
      <c r="R26" s="217"/>
      <c r="W26" s="181"/>
      <c r="X26" s="203"/>
    </row>
    <row r="27" spans="1:25" x14ac:dyDescent="0.25">
      <c r="A27" s="213"/>
      <c r="B27" s="214"/>
      <c r="C27" s="215"/>
      <c r="D27" s="227"/>
      <c r="E27" s="227"/>
      <c r="F27" s="217"/>
      <c r="G27" s="227"/>
      <c r="H27" s="227"/>
      <c r="I27" s="228"/>
      <c r="J27" s="237"/>
      <c r="K27" s="227"/>
      <c r="L27" s="227"/>
      <c r="M27" s="227"/>
      <c r="N27" s="238"/>
      <c r="O27" s="227"/>
      <c r="P27" s="243"/>
      <c r="Q27" s="217"/>
      <c r="R27" s="217"/>
      <c r="W27" s="181"/>
      <c r="X27" s="203"/>
    </row>
    <row r="28" spans="1:25" x14ac:dyDescent="0.25">
      <c r="A28" s="213"/>
      <c r="B28" s="214"/>
      <c r="C28" s="215"/>
      <c r="D28" s="227"/>
      <c r="E28" s="227"/>
      <c r="F28" s="217"/>
      <c r="G28" s="227"/>
      <c r="H28" s="227"/>
      <c r="I28" s="228"/>
      <c r="J28" s="237"/>
      <c r="K28" s="227"/>
      <c r="L28" s="227"/>
      <c r="M28" s="227"/>
      <c r="N28" s="238"/>
      <c r="O28" s="227"/>
      <c r="P28" s="243"/>
      <c r="Q28" s="217"/>
      <c r="R28" s="217"/>
      <c r="W28" s="181"/>
      <c r="X28" s="203"/>
    </row>
    <row r="29" spans="1:25" x14ac:dyDescent="0.25">
      <c r="A29" s="213"/>
      <c r="B29" s="214"/>
      <c r="C29" s="215"/>
      <c r="D29" s="227"/>
      <c r="E29" s="227"/>
      <c r="F29" s="217"/>
      <c r="G29" s="227"/>
      <c r="H29" s="227"/>
      <c r="I29" s="228"/>
      <c r="J29" s="237"/>
      <c r="K29" s="227"/>
      <c r="L29" s="227"/>
      <c r="M29" s="227"/>
      <c r="N29" s="238"/>
      <c r="O29" s="227"/>
      <c r="P29" s="243"/>
      <c r="Q29" s="217"/>
      <c r="R29" s="217"/>
      <c r="W29" s="181"/>
      <c r="X29" s="203"/>
    </row>
    <row r="30" spans="1:25" x14ac:dyDescent="0.25">
      <c r="A30" s="213"/>
      <c r="B30" s="214"/>
      <c r="C30" s="215"/>
      <c r="D30" s="227"/>
      <c r="E30" s="227"/>
      <c r="F30" s="217"/>
      <c r="G30" s="227"/>
      <c r="H30" s="227"/>
      <c r="I30" s="228"/>
      <c r="J30" s="237"/>
      <c r="K30" s="227"/>
      <c r="L30" s="227"/>
      <c r="M30" s="227"/>
      <c r="N30" s="238"/>
      <c r="O30" s="227"/>
      <c r="P30" s="243"/>
      <c r="Q30" s="217"/>
      <c r="R30" s="217"/>
      <c r="W30" s="181"/>
      <c r="X30" s="203"/>
    </row>
    <row r="31" spans="1:25" x14ac:dyDescent="0.25">
      <c r="A31" s="213"/>
      <c r="B31" s="214"/>
      <c r="C31" s="215"/>
      <c r="D31" s="227"/>
      <c r="E31" s="227"/>
      <c r="F31" s="217"/>
      <c r="G31" s="227"/>
      <c r="H31" s="227"/>
      <c r="I31" s="228"/>
      <c r="J31" s="237"/>
      <c r="K31" s="227"/>
      <c r="L31" s="227"/>
      <c r="M31" s="238"/>
      <c r="N31" s="227"/>
      <c r="O31" s="227"/>
      <c r="P31" s="243"/>
      <c r="Q31" s="217"/>
      <c r="R31" s="217"/>
      <c r="W31" s="245"/>
      <c r="X31" s="246"/>
      <c r="Y31" s="247"/>
    </row>
    <row r="32" spans="1:25" ht="20" thickBot="1" x14ac:dyDescent="0.3">
      <c r="A32" s="248"/>
      <c r="B32" s="249"/>
      <c r="C32" s="250"/>
      <c r="D32" s="251"/>
      <c r="E32" s="251"/>
      <c r="F32" s="252"/>
      <c r="G32" s="253"/>
      <c r="H32" s="253"/>
      <c r="I32" s="248"/>
      <c r="J32" s="254"/>
      <c r="K32" s="253"/>
      <c r="L32" s="253"/>
      <c r="M32" s="253"/>
      <c r="N32" s="253"/>
      <c r="O32" s="253"/>
      <c r="P32" s="255"/>
      <c r="Q32" s="253"/>
      <c r="R32" s="256"/>
      <c r="W32" s="245"/>
      <c r="X32" s="246"/>
      <c r="Y32" s="247"/>
    </row>
    <row r="33" spans="1:24" ht="21" thickTop="1" thickBot="1" x14ac:dyDescent="0.3">
      <c r="A33" s="257"/>
      <c r="B33" s="258"/>
      <c r="C33" s="259"/>
      <c r="D33" s="260" t="s">
        <v>122</v>
      </c>
      <c r="E33" s="260"/>
      <c r="F33" s="261"/>
      <c r="G33" s="262"/>
      <c r="H33" s="263"/>
      <c r="I33" s="262"/>
      <c r="J33" s="264">
        <f t="shared" ref="J33:O33" si="5">SUM(J7:J32)</f>
        <v>460</v>
      </c>
      <c r="K33" s="264">
        <f t="shared" si="5"/>
        <v>270.27</v>
      </c>
      <c r="L33" s="264">
        <f t="shared" si="5"/>
        <v>43.58</v>
      </c>
      <c r="M33" s="264">
        <f t="shared" si="5"/>
        <v>114.24</v>
      </c>
      <c r="N33" s="264">
        <f t="shared" si="5"/>
        <v>330.77</v>
      </c>
      <c r="O33" s="264">
        <f t="shared" si="5"/>
        <v>16.47</v>
      </c>
      <c r="P33" s="264">
        <f>SUM(J33:O33)</f>
        <v>1235.3300000000002</v>
      </c>
      <c r="Q33" s="262"/>
      <c r="R33" s="265"/>
      <c r="X33" s="203"/>
    </row>
    <row r="34" spans="1:24" ht="20" thickTop="1" x14ac:dyDescent="0.25"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X34" s="203"/>
    </row>
    <row r="35" spans="1:24" x14ac:dyDescent="0.25">
      <c r="G35" s="268"/>
      <c r="H35" s="268"/>
      <c r="I35" s="268"/>
      <c r="J35" s="268"/>
      <c r="K35" s="268"/>
      <c r="L35" s="268"/>
      <c r="M35" s="268"/>
      <c r="N35" s="268"/>
      <c r="O35" s="268"/>
      <c r="P35" s="268">
        <f>P33-250</f>
        <v>985.33000000000015</v>
      </c>
      <c r="Q35" s="268"/>
      <c r="X35" s="203"/>
    </row>
    <row r="36" spans="1:24" x14ac:dyDescent="0.25"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</row>
    <row r="37" spans="1:24" x14ac:dyDescent="0.25"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</row>
    <row r="38" spans="1:24" x14ac:dyDescent="0.25"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</row>
    <row r="39" spans="1:24" x14ac:dyDescent="0.25"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</row>
    <row r="40" spans="1:24" x14ac:dyDescent="0.25"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</row>
    <row r="41" spans="1:24" x14ac:dyDescent="0.25"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</row>
    <row r="42" spans="1:24" x14ac:dyDescent="0.25"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</row>
    <row r="43" spans="1:24" x14ac:dyDescent="0.25"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</row>
    <row r="44" spans="1:24" x14ac:dyDescent="0.25"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</row>
    <row r="45" spans="1:24" x14ac:dyDescent="0.25"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</row>
    <row r="46" spans="1:24" x14ac:dyDescent="0.25"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</row>
    <row r="47" spans="1:24" x14ac:dyDescent="0.25"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</row>
    <row r="48" spans="1:24" x14ac:dyDescent="0.25"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</row>
    <row r="49" spans="7:17" x14ac:dyDescent="0.25"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</row>
    <row r="50" spans="7:17" x14ac:dyDescent="0.25"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</row>
    <row r="51" spans="7:17" x14ac:dyDescent="0.25"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</row>
    <row r="52" spans="7:17" x14ac:dyDescent="0.25"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</row>
    <row r="53" spans="7:17" x14ac:dyDescent="0.25"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</row>
    <row r="54" spans="7:17" x14ac:dyDescent="0.25"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</row>
    <row r="55" spans="7:17" x14ac:dyDescent="0.25"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</row>
    <row r="56" spans="7:17" x14ac:dyDescent="0.25"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</row>
    <row r="57" spans="7:17" x14ac:dyDescent="0.25"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</row>
    <row r="58" spans="7:17" x14ac:dyDescent="0.25"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</row>
    <row r="59" spans="7:17" x14ac:dyDescent="0.25"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</row>
    <row r="60" spans="7:17" x14ac:dyDescent="0.25"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</row>
    <row r="61" spans="7:17" x14ac:dyDescent="0.25"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</row>
    <row r="62" spans="7:17" x14ac:dyDescent="0.25"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</row>
    <row r="63" spans="7:17" x14ac:dyDescent="0.25"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</row>
    <row r="64" spans="7:17" x14ac:dyDescent="0.25"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</row>
    <row r="65" spans="7:17" x14ac:dyDescent="0.25"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</row>
    <row r="66" spans="7:17" x14ac:dyDescent="0.25"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</row>
    <row r="67" spans="7:17" x14ac:dyDescent="0.25"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</row>
    <row r="68" spans="7:17" x14ac:dyDescent="0.25"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</row>
    <row r="69" spans="7:17" x14ac:dyDescent="0.25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</row>
    <row r="70" spans="7:17" x14ac:dyDescent="0.25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</row>
    <row r="71" spans="7:17" x14ac:dyDescent="0.25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</row>
    <row r="72" spans="7:17" x14ac:dyDescent="0.25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</row>
    <row r="73" spans="7:17" x14ac:dyDescent="0.25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</row>
    <row r="74" spans="7:17" x14ac:dyDescent="0.25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</row>
    <row r="75" spans="7:17" x14ac:dyDescent="0.25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</row>
    <row r="76" spans="7:17" x14ac:dyDescent="0.25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</row>
    <row r="77" spans="7:17" x14ac:dyDescent="0.25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</row>
    <row r="78" spans="7:17" x14ac:dyDescent="0.25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</row>
    <row r="79" spans="7:17" x14ac:dyDescent="0.25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</row>
    <row r="80" spans="7:17" x14ac:dyDescent="0.25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</row>
    <row r="81" spans="7:17" x14ac:dyDescent="0.25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</row>
    <row r="82" spans="7:17" x14ac:dyDescent="0.25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</row>
    <row r="83" spans="7:17" x14ac:dyDescent="0.25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</row>
    <row r="84" spans="7:17" x14ac:dyDescent="0.25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</row>
    <row r="85" spans="7:17" x14ac:dyDescent="0.25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</row>
    <row r="86" spans="7:17" x14ac:dyDescent="0.25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</row>
    <row r="87" spans="7:17" x14ac:dyDescent="0.25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</row>
    <row r="88" spans="7:17" x14ac:dyDescent="0.25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</row>
    <row r="89" spans="7:17" x14ac:dyDescent="0.25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</row>
    <row r="90" spans="7:17" x14ac:dyDescent="0.25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</row>
    <row r="91" spans="7:17" x14ac:dyDescent="0.25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</row>
    <row r="92" spans="7:17" x14ac:dyDescent="0.25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</row>
    <row r="93" spans="7:17" x14ac:dyDescent="0.25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</row>
    <row r="94" spans="7:17" x14ac:dyDescent="0.25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</row>
    <row r="95" spans="7:17" x14ac:dyDescent="0.25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</row>
    <row r="96" spans="7:17" x14ac:dyDescent="0.25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</row>
    <row r="97" spans="7:17" x14ac:dyDescent="0.25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</row>
    <row r="98" spans="7:17" x14ac:dyDescent="0.25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</row>
    <row r="99" spans="7:17" x14ac:dyDescent="0.25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</row>
    <row r="100" spans="7:17" x14ac:dyDescent="0.25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</row>
    <row r="101" spans="7:17" x14ac:dyDescent="0.25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</row>
    <row r="102" spans="7:17" x14ac:dyDescent="0.25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</row>
    <row r="103" spans="7:17" x14ac:dyDescent="0.25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</row>
    <row r="104" spans="7:17" x14ac:dyDescent="0.25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</row>
    <row r="105" spans="7:17" x14ac:dyDescent="0.25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</row>
    <row r="106" spans="7:17" x14ac:dyDescent="0.25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</row>
    <row r="107" spans="7:17" x14ac:dyDescent="0.25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</row>
    <row r="108" spans="7:17" x14ac:dyDescent="0.25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</row>
    <row r="109" spans="7:17" x14ac:dyDescent="0.25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</row>
    <row r="110" spans="7:17" x14ac:dyDescent="0.25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</row>
    <row r="111" spans="7:17" x14ac:dyDescent="0.25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</row>
    <row r="112" spans="7:17" x14ac:dyDescent="0.25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</row>
    <row r="113" spans="7:17" x14ac:dyDescent="0.25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</row>
    <row r="114" spans="7:17" x14ac:dyDescent="0.25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</row>
    <row r="115" spans="7:17" x14ac:dyDescent="0.25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</row>
    <row r="116" spans="7:17" x14ac:dyDescent="0.25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</row>
    <row r="117" spans="7:17" x14ac:dyDescent="0.25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</row>
    <row r="118" spans="7:17" x14ac:dyDescent="0.25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</row>
    <row r="119" spans="7:17" x14ac:dyDescent="0.25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</row>
    <row r="120" spans="7:17" x14ac:dyDescent="0.25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</row>
    <row r="121" spans="7:17" x14ac:dyDescent="0.25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</row>
    <row r="122" spans="7:17" x14ac:dyDescent="0.25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</row>
    <row r="123" spans="7:17" x14ac:dyDescent="0.25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</row>
    <row r="124" spans="7:17" x14ac:dyDescent="0.25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</row>
    <row r="125" spans="7:17" x14ac:dyDescent="0.25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</row>
    <row r="126" spans="7:17" x14ac:dyDescent="0.25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</row>
    <row r="127" spans="7:17" x14ac:dyDescent="0.25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</row>
    <row r="128" spans="7:17" x14ac:dyDescent="0.25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</row>
    <row r="129" spans="7:17" x14ac:dyDescent="0.25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</row>
    <row r="130" spans="7:17" x14ac:dyDescent="0.25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</row>
    <row r="131" spans="7:17" x14ac:dyDescent="0.25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</row>
    <row r="132" spans="7:17" x14ac:dyDescent="0.25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</row>
    <row r="133" spans="7:17" x14ac:dyDescent="0.25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</row>
    <row r="134" spans="7:17" x14ac:dyDescent="0.25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</row>
    <row r="135" spans="7:17" x14ac:dyDescent="0.25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</row>
    <row r="136" spans="7:17" x14ac:dyDescent="0.25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</row>
    <row r="137" spans="7:17" x14ac:dyDescent="0.25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</row>
    <row r="138" spans="7:17" x14ac:dyDescent="0.25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</row>
    <row r="139" spans="7:17" x14ac:dyDescent="0.25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</row>
    <row r="140" spans="7:17" x14ac:dyDescent="0.25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</row>
    <row r="141" spans="7:17" x14ac:dyDescent="0.25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</row>
    <row r="142" spans="7:17" x14ac:dyDescent="0.25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</row>
    <row r="143" spans="7:17" x14ac:dyDescent="0.25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</row>
    <row r="144" spans="7:17" x14ac:dyDescent="0.25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</row>
    <row r="145" spans="7:17" x14ac:dyDescent="0.25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</row>
    <row r="146" spans="7:17" x14ac:dyDescent="0.25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</row>
    <row r="147" spans="7:17" x14ac:dyDescent="0.25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</row>
    <row r="148" spans="7:17" x14ac:dyDescent="0.25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</row>
    <row r="149" spans="7:17" x14ac:dyDescent="0.25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</row>
    <row r="150" spans="7:17" x14ac:dyDescent="0.25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</row>
    <row r="151" spans="7:17" x14ac:dyDescent="0.25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</row>
    <row r="152" spans="7:17" x14ac:dyDescent="0.25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</row>
    <row r="153" spans="7:17" x14ac:dyDescent="0.25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</row>
    <row r="154" spans="7:17" x14ac:dyDescent="0.25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</row>
    <row r="155" spans="7:17" x14ac:dyDescent="0.25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</row>
    <row r="156" spans="7:17" x14ac:dyDescent="0.25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</row>
    <row r="157" spans="7:17" x14ac:dyDescent="0.25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</row>
    <row r="158" spans="7:17" x14ac:dyDescent="0.25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</row>
    <row r="159" spans="7:17" x14ac:dyDescent="0.25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</row>
    <row r="160" spans="7:17" x14ac:dyDescent="0.25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</row>
    <row r="161" spans="7:17" x14ac:dyDescent="0.25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</row>
    <row r="162" spans="7:17" x14ac:dyDescent="0.25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</row>
    <row r="163" spans="7:17" x14ac:dyDescent="0.25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</row>
    <row r="164" spans="7:17" x14ac:dyDescent="0.25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</row>
    <row r="165" spans="7:17" x14ac:dyDescent="0.25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</row>
    <row r="166" spans="7:17" x14ac:dyDescent="0.25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</row>
    <row r="167" spans="7:17" x14ac:dyDescent="0.25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</row>
    <row r="168" spans="7:17" x14ac:dyDescent="0.25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</row>
    <row r="169" spans="7:17" x14ac:dyDescent="0.25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</row>
    <row r="170" spans="7:17" x14ac:dyDescent="0.25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</row>
    <row r="171" spans="7:17" x14ac:dyDescent="0.25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</row>
    <row r="172" spans="7:17" x14ac:dyDescent="0.25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</row>
    <row r="173" spans="7:17" x14ac:dyDescent="0.25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</row>
    <row r="174" spans="7:17" x14ac:dyDescent="0.25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</row>
    <row r="175" spans="7:17" x14ac:dyDescent="0.25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</row>
    <row r="176" spans="7:17" x14ac:dyDescent="0.25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</row>
    <row r="177" spans="7:17" x14ac:dyDescent="0.25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</row>
    <row r="178" spans="7:17" x14ac:dyDescent="0.25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</row>
    <row r="179" spans="7:17" x14ac:dyDescent="0.25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</row>
    <row r="180" spans="7:17" x14ac:dyDescent="0.25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</row>
    <row r="181" spans="7:17" x14ac:dyDescent="0.25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</row>
    <row r="182" spans="7:17" x14ac:dyDescent="0.25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</row>
    <row r="183" spans="7:17" x14ac:dyDescent="0.25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</row>
    <row r="184" spans="7:17" x14ac:dyDescent="0.25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</row>
    <row r="185" spans="7:17" x14ac:dyDescent="0.25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</row>
    <row r="186" spans="7:17" x14ac:dyDescent="0.25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</row>
    <row r="187" spans="7:17" x14ac:dyDescent="0.25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</row>
    <row r="188" spans="7:17" x14ac:dyDescent="0.25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</row>
    <row r="189" spans="7:17" x14ac:dyDescent="0.25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</row>
    <row r="190" spans="7:17" x14ac:dyDescent="0.25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</row>
    <row r="191" spans="7:17" x14ac:dyDescent="0.25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</row>
    <row r="192" spans="7:17" x14ac:dyDescent="0.25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</row>
    <row r="193" spans="7:17" x14ac:dyDescent="0.25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</row>
    <row r="194" spans="7:17" x14ac:dyDescent="0.25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</row>
    <row r="195" spans="7:17" x14ac:dyDescent="0.25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</row>
    <row r="196" spans="7:17" x14ac:dyDescent="0.25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</row>
    <row r="197" spans="7:17" x14ac:dyDescent="0.25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</row>
    <row r="198" spans="7:17" x14ac:dyDescent="0.25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</row>
    <row r="199" spans="7:17" x14ac:dyDescent="0.25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</row>
    <row r="200" spans="7:17" x14ac:dyDescent="0.25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</row>
    <row r="201" spans="7:17" x14ac:dyDescent="0.25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</row>
    <row r="202" spans="7:17" x14ac:dyDescent="0.25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</row>
    <row r="203" spans="7:17" x14ac:dyDescent="0.25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</row>
    <row r="204" spans="7:17" x14ac:dyDescent="0.25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</row>
    <row r="205" spans="7:17" x14ac:dyDescent="0.25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</row>
    <row r="206" spans="7:17" x14ac:dyDescent="0.25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</row>
  </sheetData>
  <mergeCells count="2">
    <mergeCell ref="B1:I1"/>
    <mergeCell ref="J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D1"/>
    </sheetView>
  </sheetViews>
  <sheetFormatPr baseColWidth="10" defaultColWidth="9.1640625" defaultRowHeight="17" x14ac:dyDescent="0.25"/>
  <cols>
    <col min="1" max="1" width="11.83203125" style="155" customWidth="1"/>
    <col min="2" max="2" width="24.6640625" style="155" customWidth="1"/>
    <col min="3" max="3" width="51.5" style="267" customWidth="1"/>
    <col min="4" max="4" width="27.6640625" style="267" customWidth="1"/>
    <col min="5" max="5" width="11.5" style="155" customWidth="1"/>
    <col min="6" max="18" width="12.1640625" style="155" customWidth="1"/>
    <col min="19" max="19" width="15.1640625" style="155" customWidth="1"/>
    <col min="20" max="20" width="10.5" style="269" customWidth="1"/>
    <col min="21" max="21" width="1.33203125" style="159" customWidth="1"/>
    <col min="22" max="22" width="20.1640625" style="203" hidden="1" customWidth="1"/>
    <col min="23" max="23" width="15.33203125" style="353" hidden="1" customWidth="1"/>
    <col min="24" max="24" width="1.6640625" style="163" hidden="1" customWidth="1"/>
    <col min="25" max="25" width="0" style="159" hidden="1" customWidth="1"/>
    <col min="26" max="31" width="9.1640625" style="159"/>
    <col min="32" max="16384" width="9.1640625" style="155"/>
  </cols>
  <sheetData>
    <row r="1" spans="1:31" s="269" customFormat="1" ht="19.5" customHeight="1" x14ac:dyDescent="0.25">
      <c r="A1" s="1206" t="s">
        <v>123</v>
      </c>
      <c r="B1" s="1207"/>
      <c r="C1" s="1207"/>
      <c r="D1" s="1208"/>
      <c r="E1" s="270"/>
      <c r="F1" s="1209" t="s">
        <v>124</v>
      </c>
      <c r="G1" s="1210"/>
      <c r="H1" s="1211"/>
      <c r="I1" s="1212" t="s">
        <v>125</v>
      </c>
      <c r="J1" s="1213"/>
      <c r="K1" s="1213"/>
      <c r="L1" s="1213"/>
      <c r="M1" s="1213"/>
      <c r="N1" s="1213"/>
      <c r="O1" s="1213"/>
      <c r="P1" s="1213"/>
      <c r="Q1" s="1213"/>
      <c r="R1" s="271"/>
      <c r="S1" s="272"/>
      <c r="T1" s="272"/>
      <c r="U1" s="180"/>
      <c r="V1" s="273"/>
      <c r="W1" s="274"/>
      <c r="X1" s="182"/>
      <c r="Y1" s="180"/>
      <c r="Z1" s="180"/>
      <c r="AA1" s="180"/>
      <c r="AB1" s="180"/>
      <c r="AC1" s="180"/>
      <c r="AD1" s="180"/>
      <c r="AE1" s="180"/>
    </row>
    <row r="2" spans="1:31" s="286" customFormat="1" ht="52.5" customHeight="1" thickBot="1" x14ac:dyDescent="0.25">
      <c r="A2" s="275" t="s">
        <v>73</v>
      </c>
      <c r="B2" s="275" t="s">
        <v>126</v>
      </c>
      <c r="C2" s="276" t="s">
        <v>75</v>
      </c>
      <c r="D2" s="277" t="s">
        <v>76</v>
      </c>
      <c r="E2" s="278" t="s">
        <v>77</v>
      </c>
      <c r="F2" s="279" t="s">
        <v>78</v>
      </c>
      <c r="G2" s="275" t="s">
        <v>79</v>
      </c>
      <c r="H2" s="278" t="s">
        <v>80</v>
      </c>
      <c r="I2" s="279" t="s">
        <v>81</v>
      </c>
      <c r="J2" s="275" t="s">
        <v>82</v>
      </c>
      <c r="K2" s="275" t="s">
        <v>83</v>
      </c>
      <c r="L2" s="275" t="s">
        <v>84</v>
      </c>
      <c r="M2" s="275" t="s">
        <v>85</v>
      </c>
      <c r="N2" s="277" t="s">
        <v>127</v>
      </c>
      <c r="O2" s="277" t="s">
        <v>33</v>
      </c>
      <c r="P2" s="277" t="s">
        <v>128</v>
      </c>
      <c r="Q2" s="277" t="s">
        <v>80</v>
      </c>
      <c r="R2" s="280" t="s">
        <v>86</v>
      </c>
      <c r="S2" s="281" t="s">
        <v>87</v>
      </c>
      <c r="T2" s="279" t="s">
        <v>129</v>
      </c>
      <c r="U2" s="282"/>
      <c r="V2" s="283"/>
      <c r="W2" s="284"/>
      <c r="X2" s="285"/>
      <c r="Y2" s="282"/>
      <c r="Z2" s="282"/>
      <c r="AA2" s="282"/>
      <c r="AB2" s="282"/>
      <c r="AC2" s="282"/>
      <c r="AD2" s="282"/>
      <c r="AE2" s="282"/>
    </row>
    <row r="3" spans="1:31" s="180" customFormat="1" ht="20" thickTop="1" x14ac:dyDescent="0.25">
      <c r="A3" s="287"/>
      <c r="B3" s="288"/>
      <c r="C3" s="288" t="s">
        <v>3</v>
      </c>
      <c r="D3" s="289"/>
      <c r="E3" s="290"/>
      <c r="F3" s="291">
        <v>1500</v>
      </c>
      <c r="G3" s="292">
        <v>0</v>
      </c>
      <c r="H3" s="293">
        <v>0</v>
      </c>
      <c r="I3" s="291">
        <v>210</v>
      </c>
      <c r="J3" s="292">
        <v>620</v>
      </c>
      <c r="K3" s="292">
        <v>110</v>
      </c>
      <c r="L3" s="292">
        <v>65</v>
      </c>
      <c r="M3" s="292">
        <f>205+30+110</f>
        <v>345</v>
      </c>
      <c r="N3" s="294">
        <v>127.5</v>
      </c>
      <c r="O3" s="294">
        <v>140</v>
      </c>
      <c r="P3" s="294">
        <v>16</v>
      </c>
      <c r="Q3" s="294">
        <v>0</v>
      </c>
      <c r="R3" s="295">
        <f>SUM(I3:Q3)</f>
        <v>1633.5</v>
      </c>
      <c r="S3" s="296">
        <v>1242.71</v>
      </c>
      <c r="T3" s="297"/>
      <c r="V3" s="273"/>
      <c r="W3" s="274"/>
      <c r="X3" s="171"/>
    </row>
    <row r="4" spans="1:31" s="180" customFormat="1" ht="20" thickBot="1" x14ac:dyDescent="0.3">
      <c r="A4" s="298"/>
      <c r="B4" s="299"/>
      <c r="C4" s="299" t="s">
        <v>130</v>
      </c>
      <c r="D4" s="300"/>
      <c r="E4" s="301"/>
      <c r="F4" s="302"/>
      <c r="G4" s="303"/>
      <c r="H4" s="304"/>
      <c r="I4" s="305">
        <f t="shared" ref="I4:Q4" si="0">I3-I35</f>
        <v>60</v>
      </c>
      <c r="J4" s="305">
        <f t="shared" si="0"/>
        <v>-214.39999999999986</v>
      </c>
      <c r="K4" s="305">
        <f t="shared" si="0"/>
        <v>-222.27999999999997</v>
      </c>
      <c r="L4" s="305">
        <f t="shared" si="0"/>
        <v>-40</v>
      </c>
      <c r="M4" s="305">
        <f t="shared" si="0"/>
        <v>-13.769999999999982</v>
      </c>
      <c r="N4" s="305">
        <f t="shared" si="0"/>
        <v>-247.5</v>
      </c>
      <c r="O4" s="305">
        <f t="shared" si="0"/>
        <v>0</v>
      </c>
      <c r="P4" s="305">
        <f t="shared" si="0"/>
        <v>16</v>
      </c>
      <c r="Q4" s="306">
        <f t="shared" si="0"/>
        <v>-53.790000000000006</v>
      </c>
      <c r="R4" s="307">
        <f>SUM(I4:Q4)</f>
        <v>-715.73999999999978</v>
      </c>
      <c r="S4" s="308"/>
      <c r="T4" s="309"/>
      <c r="V4" s="273"/>
      <c r="W4" s="274"/>
      <c r="X4" s="182"/>
    </row>
    <row r="5" spans="1:31" s="180" customFormat="1" ht="19" x14ac:dyDescent="0.25">
      <c r="A5" s="310">
        <v>40308</v>
      </c>
      <c r="B5" s="311" t="s">
        <v>131</v>
      </c>
      <c r="C5" s="312" t="s">
        <v>132</v>
      </c>
      <c r="D5" s="313" t="s">
        <v>133</v>
      </c>
      <c r="E5" s="314">
        <v>100288</v>
      </c>
      <c r="F5" s="315"/>
      <c r="G5" s="316"/>
      <c r="H5" s="317"/>
      <c r="I5" s="318">
        <v>75</v>
      </c>
      <c r="J5" s="316"/>
      <c r="K5" s="316"/>
      <c r="L5" s="316"/>
      <c r="M5" s="316"/>
      <c r="N5" s="319"/>
      <c r="O5" s="319"/>
      <c r="P5" s="319"/>
      <c r="Q5" s="320"/>
      <c r="R5" s="321">
        <f>SUM(I5:Q5)</f>
        <v>75</v>
      </c>
      <c r="S5" s="322">
        <f>S3+SUM(F5:H5)-R5</f>
        <v>1167.71</v>
      </c>
      <c r="T5" s="323" t="s">
        <v>23</v>
      </c>
      <c r="V5" s="273" t="s">
        <v>134</v>
      </c>
      <c r="W5" s="274"/>
      <c r="X5" s="182"/>
    </row>
    <row r="6" spans="1:31" s="180" customFormat="1" ht="19" x14ac:dyDescent="0.25">
      <c r="A6" s="324">
        <v>40308</v>
      </c>
      <c r="B6" s="215" t="s">
        <v>135</v>
      </c>
      <c r="C6" s="216" t="s">
        <v>136</v>
      </c>
      <c r="D6" s="325" t="s">
        <v>133</v>
      </c>
      <c r="E6" s="326">
        <v>100290</v>
      </c>
      <c r="F6" s="327"/>
      <c r="G6" s="221"/>
      <c r="H6" s="328"/>
      <c r="I6" s="329">
        <v>25</v>
      </c>
      <c r="J6" s="221"/>
      <c r="K6" s="221"/>
      <c r="L6" s="221"/>
      <c r="M6" s="221"/>
      <c r="N6" s="330"/>
      <c r="O6" s="330"/>
      <c r="P6" s="330"/>
      <c r="Q6" s="330"/>
      <c r="R6" s="331">
        <f t="shared" ref="R6:R7" si="1">SUM(I6:Q6)</f>
        <v>25</v>
      </c>
      <c r="S6" s="332">
        <f>S5+SUM(F6:H6)-R6</f>
        <v>1142.71</v>
      </c>
      <c r="T6" s="333" t="s">
        <v>23</v>
      </c>
      <c r="V6" s="273" t="s">
        <v>134</v>
      </c>
      <c r="W6" s="274"/>
      <c r="X6" s="182"/>
    </row>
    <row r="7" spans="1:31" s="180" customFormat="1" ht="19" x14ac:dyDescent="0.25">
      <c r="A7" s="324">
        <v>40313</v>
      </c>
      <c r="B7" s="215" t="s">
        <v>137</v>
      </c>
      <c r="C7" s="216" t="s">
        <v>138</v>
      </c>
      <c r="D7" s="325" t="s">
        <v>133</v>
      </c>
      <c r="E7" s="326">
        <v>100287</v>
      </c>
      <c r="F7" s="327"/>
      <c r="G7" s="221"/>
      <c r="H7" s="328"/>
      <c r="I7" s="329"/>
      <c r="J7" s="221">
        <v>333.76</v>
      </c>
      <c r="K7" s="221">
        <f>62.84+18.96</f>
        <v>81.800000000000011</v>
      </c>
      <c r="L7" s="221"/>
      <c r="M7" s="221"/>
      <c r="N7" s="330"/>
      <c r="O7" s="330"/>
      <c r="P7" s="330"/>
      <c r="Q7" s="330">
        <v>1.28</v>
      </c>
      <c r="R7" s="331">
        <f t="shared" si="1"/>
        <v>416.84</v>
      </c>
      <c r="S7" s="332">
        <f t="shared" ref="S7:S12" si="2">S6+SUM(F7:H7)-R7</f>
        <v>725.87000000000012</v>
      </c>
      <c r="T7" s="333" t="s">
        <v>23</v>
      </c>
      <c r="V7" s="334" t="s">
        <v>139</v>
      </c>
      <c r="W7" s="274"/>
      <c r="X7" s="182"/>
    </row>
    <row r="8" spans="1:31" s="180" customFormat="1" ht="19" x14ac:dyDescent="0.25">
      <c r="A8" s="335">
        <v>40326</v>
      </c>
      <c r="B8" s="336" t="s">
        <v>140</v>
      </c>
      <c r="C8" s="337" t="s">
        <v>141</v>
      </c>
      <c r="D8" s="338"/>
      <c r="E8" s="339"/>
      <c r="F8" s="340">
        <v>750</v>
      </c>
      <c r="G8" s="341"/>
      <c r="H8" s="342"/>
      <c r="I8" s="340"/>
      <c r="J8" s="341"/>
      <c r="K8" s="341"/>
      <c r="L8" s="343"/>
      <c r="M8" s="343"/>
      <c r="N8" s="344"/>
      <c r="O8" s="344"/>
      <c r="P8" s="344"/>
      <c r="Q8" s="344"/>
      <c r="R8" s="345"/>
      <c r="S8" s="332">
        <f t="shared" si="2"/>
        <v>1475.8700000000001</v>
      </c>
      <c r="T8" s="346" t="s">
        <v>23</v>
      </c>
      <c r="W8" s="273" t="s">
        <v>142</v>
      </c>
      <c r="X8" s="182"/>
    </row>
    <row r="9" spans="1:31" s="180" customFormat="1" ht="19" x14ac:dyDescent="0.25">
      <c r="A9" s="347">
        <v>40329</v>
      </c>
      <c r="B9" s="206" t="s">
        <v>112</v>
      </c>
      <c r="C9" s="207" t="s">
        <v>143</v>
      </c>
      <c r="D9" s="325" t="s">
        <v>133</v>
      </c>
      <c r="E9" s="348">
        <v>100285</v>
      </c>
      <c r="F9" s="349"/>
      <c r="G9" s="212"/>
      <c r="H9" s="350"/>
      <c r="I9" s="349"/>
      <c r="J9" s="212"/>
      <c r="K9" s="212"/>
      <c r="L9" s="212"/>
      <c r="M9" s="212">
        <v>25</v>
      </c>
      <c r="N9" s="351"/>
      <c r="O9" s="351"/>
      <c r="P9" s="351"/>
      <c r="Q9" s="351"/>
      <c r="R9" s="331">
        <f>SUM(I9:Q9)</f>
        <v>25</v>
      </c>
      <c r="S9" s="332">
        <f t="shared" si="2"/>
        <v>1450.8700000000001</v>
      </c>
      <c r="T9" s="346" t="s">
        <v>23</v>
      </c>
      <c r="V9" s="334" t="s">
        <v>144</v>
      </c>
      <c r="W9" s="274"/>
      <c r="X9" s="182"/>
    </row>
    <row r="10" spans="1:31" s="159" customFormat="1" ht="19" x14ac:dyDescent="0.25">
      <c r="A10" s="324">
        <v>40329</v>
      </c>
      <c r="B10" s="215" t="s">
        <v>114</v>
      </c>
      <c r="C10" s="216" t="s">
        <v>145</v>
      </c>
      <c r="D10" s="325" t="s">
        <v>133</v>
      </c>
      <c r="E10" s="326">
        <v>100286</v>
      </c>
      <c r="F10" s="327"/>
      <c r="G10" s="221"/>
      <c r="H10" s="328"/>
      <c r="I10" s="329"/>
      <c r="J10" s="221"/>
      <c r="K10" s="221"/>
      <c r="L10" s="221"/>
      <c r="M10" s="221">
        <v>108</v>
      </c>
      <c r="N10" s="330"/>
      <c r="O10" s="330"/>
      <c r="P10" s="330"/>
      <c r="Q10" s="330"/>
      <c r="R10" s="331">
        <f t="shared" ref="R10:R18" si="3">SUM(I10:Q10)</f>
        <v>108</v>
      </c>
      <c r="S10" s="332">
        <f t="shared" si="2"/>
        <v>1342.8700000000001</v>
      </c>
      <c r="T10" s="352" t="s">
        <v>23</v>
      </c>
      <c r="V10" s="203"/>
      <c r="W10" s="353"/>
      <c r="X10" s="182"/>
    </row>
    <row r="11" spans="1:31" s="159" customFormat="1" ht="19" x14ac:dyDescent="0.25">
      <c r="A11" s="324">
        <v>40330</v>
      </c>
      <c r="B11" s="215" t="s">
        <v>146</v>
      </c>
      <c r="C11" s="216" t="s">
        <v>147</v>
      </c>
      <c r="D11" s="325" t="s">
        <v>133</v>
      </c>
      <c r="E11" s="354">
        <v>100283</v>
      </c>
      <c r="F11" s="327"/>
      <c r="G11" s="221"/>
      <c r="H11" s="328"/>
      <c r="I11" s="329"/>
      <c r="J11" s="221"/>
      <c r="K11" s="221"/>
      <c r="L11" s="242"/>
      <c r="M11" s="242"/>
      <c r="N11" s="330">
        <v>250</v>
      </c>
      <c r="O11" s="355"/>
      <c r="P11" s="355"/>
      <c r="Q11" s="355"/>
      <c r="R11" s="331">
        <f t="shared" si="3"/>
        <v>250</v>
      </c>
      <c r="S11" s="332">
        <f t="shared" si="2"/>
        <v>1092.8700000000001</v>
      </c>
      <c r="T11" s="352" t="s">
        <v>23</v>
      </c>
      <c r="V11" s="334" t="s">
        <v>144</v>
      </c>
      <c r="W11" s="353"/>
      <c r="X11" s="163"/>
    </row>
    <row r="12" spans="1:31" s="159" customFormat="1" ht="19" x14ac:dyDescent="0.25">
      <c r="A12" s="324">
        <v>40330</v>
      </c>
      <c r="B12" s="215" t="s">
        <v>146</v>
      </c>
      <c r="C12" s="216" t="s">
        <v>148</v>
      </c>
      <c r="D12" s="325" t="s">
        <v>133</v>
      </c>
      <c r="E12" s="354">
        <v>100284</v>
      </c>
      <c r="F12" s="327"/>
      <c r="G12" s="221"/>
      <c r="H12" s="328"/>
      <c r="I12" s="329"/>
      <c r="J12" s="221"/>
      <c r="K12" s="221"/>
      <c r="L12" s="242"/>
      <c r="M12" s="242"/>
      <c r="N12" s="330">
        <v>125</v>
      </c>
      <c r="O12" s="355"/>
      <c r="P12" s="355"/>
      <c r="Q12" s="355"/>
      <c r="R12" s="331">
        <f t="shared" si="3"/>
        <v>125</v>
      </c>
      <c r="S12" s="332">
        <f t="shared" si="2"/>
        <v>967.87000000000012</v>
      </c>
      <c r="T12" s="352" t="s">
        <v>23</v>
      </c>
      <c r="V12" s="334" t="s">
        <v>144</v>
      </c>
      <c r="W12" s="353"/>
      <c r="X12" s="163"/>
    </row>
    <row r="13" spans="1:31" s="159" customFormat="1" ht="19" x14ac:dyDescent="0.25">
      <c r="A13" s="324">
        <v>40330</v>
      </c>
      <c r="B13" s="215" t="s">
        <v>149</v>
      </c>
      <c r="C13" s="216" t="s">
        <v>150</v>
      </c>
      <c r="D13" s="325" t="s">
        <v>133</v>
      </c>
      <c r="E13" s="326">
        <v>100289</v>
      </c>
      <c r="F13" s="327"/>
      <c r="G13" s="221"/>
      <c r="H13" s="328"/>
      <c r="I13" s="329">
        <v>50</v>
      </c>
      <c r="J13" s="221"/>
      <c r="K13" s="221"/>
      <c r="L13" s="221"/>
      <c r="M13" s="221"/>
      <c r="N13" s="330"/>
      <c r="O13" s="330"/>
      <c r="P13" s="330"/>
      <c r="Q13" s="330"/>
      <c r="R13" s="331">
        <f t="shared" si="3"/>
        <v>50</v>
      </c>
      <c r="S13" s="332">
        <f>S12+SUM(F13:H13)-R13</f>
        <v>917.87000000000012</v>
      </c>
      <c r="T13" s="352" t="s">
        <v>23</v>
      </c>
      <c r="V13" s="334" t="s">
        <v>144</v>
      </c>
      <c r="W13" s="353" t="s">
        <v>142</v>
      </c>
      <c r="X13" s="163"/>
    </row>
    <row r="14" spans="1:31" s="159" customFormat="1" ht="19" x14ac:dyDescent="0.25">
      <c r="A14" s="356">
        <v>40450</v>
      </c>
      <c r="B14" s="357" t="s">
        <v>140</v>
      </c>
      <c r="C14" s="358" t="s">
        <v>151</v>
      </c>
      <c r="D14" s="338"/>
      <c r="E14" s="359"/>
      <c r="F14" s="360">
        <v>750</v>
      </c>
      <c r="G14" s="361"/>
      <c r="H14" s="362"/>
      <c r="I14" s="363"/>
      <c r="J14" s="361"/>
      <c r="K14" s="361"/>
      <c r="L14" s="361"/>
      <c r="M14" s="361"/>
      <c r="N14" s="364"/>
      <c r="O14" s="364"/>
      <c r="P14" s="364"/>
      <c r="Q14" s="364"/>
      <c r="R14" s="365"/>
      <c r="S14" s="332">
        <f t="shared" ref="S14:S19" si="4">S13+SUM(F14:H14)-R14</f>
        <v>1667.8700000000001</v>
      </c>
      <c r="T14" s="352" t="s">
        <v>23</v>
      </c>
      <c r="V14" s="334"/>
      <c r="W14" s="353"/>
      <c r="X14" s="163"/>
    </row>
    <row r="15" spans="1:31" s="159" customFormat="1" ht="19" x14ac:dyDescent="0.25">
      <c r="A15" s="324">
        <v>40450</v>
      </c>
      <c r="B15" s="215" t="s">
        <v>152</v>
      </c>
      <c r="C15" s="216" t="s">
        <v>153</v>
      </c>
      <c r="D15" s="325" t="s">
        <v>154</v>
      </c>
      <c r="E15" s="354">
        <v>100291</v>
      </c>
      <c r="F15" s="327"/>
      <c r="G15" s="221"/>
      <c r="H15" s="328"/>
      <c r="I15" s="329"/>
      <c r="J15" s="221"/>
      <c r="K15" s="221"/>
      <c r="L15" s="221">
        <v>35</v>
      </c>
      <c r="M15" s="221"/>
      <c r="N15" s="330"/>
      <c r="O15" s="330"/>
      <c r="P15" s="330"/>
      <c r="Q15" s="330"/>
      <c r="R15" s="331">
        <f t="shared" si="3"/>
        <v>35</v>
      </c>
      <c r="S15" s="332">
        <f t="shared" si="4"/>
        <v>1632.8700000000001</v>
      </c>
      <c r="T15" s="352" t="s">
        <v>23</v>
      </c>
      <c r="V15" s="203"/>
      <c r="W15" s="353"/>
      <c r="X15" s="182"/>
    </row>
    <row r="16" spans="1:31" s="159" customFormat="1" ht="19" x14ac:dyDescent="0.25">
      <c r="A16" s="324">
        <v>40450</v>
      </c>
      <c r="B16" s="225" t="s">
        <v>155</v>
      </c>
      <c r="C16" s="226" t="s">
        <v>156</v>
      </c>
      <c r="D16" s="325" t="s">
        <v>154</v>
      </c>
      <c r="E16" s="326">
        <v>100292</v>
      </c>
      <c r="F16" s="327"/>
      <c r="G16" s="221"/>
      <c r="H16" s="328"/>
      <c r="I16" s="329"/>
      <c r="J16" s="221"/>
      <c r="K16" s="221"/>
      <c r="L16" s="221"/>
      <c r="M16" s="221">
        <v>200.77</v>
      </c>
      <c r="N16" s="330"/>
      <c r="O16" s="330"/>
      <c r="P16" s="330"/>
      <c r="Q16" s="330"/>
      <c r="R16" s="331">
        <f t="shared" si="3"/>
        <v>200.77</v>
      </c>
      <c r="S16" s="332">
        <f t="shared" si="4"/>
        <v>1432.1000000000001</v>
      </c>
      <c r="T16" s="352" t="s">
        <v>23</v>
      </c>
      <c r="V16" s="203"/>
      <c r="W16" s="353"/>
      <c r="X16" s="163"/>
    </row>
    <row r="17" spans="1:25" ht="19" x14ac:dyDescent="0.25">
      <c r="A17" s="324">
        <v>40450</v>
      </c>
      <c r="B17" s="215" t="s">
        <v>157</v>
      </c>
      <c r="C17" s="227" t="s">
        <v>158</v>
      </c>
      <c r="D17" s="325" t="s">
        <v>154</v>
      </c>
      <c r="E17" s="326">
        <v>100293</v>
      </c>
      <c r="F17" s="366"/>
      <c r="G17" s="231"/>
      <c r="H17" s="367"/>
      <c r="I17" s="368"/>
      <c r="J17" s="231"/>
      <c r="K17" s="231"/>
      <c r="L17" s="369"/>
      <c r="M17" s="231"/>
      <c r="N17" s="370"/>
      <c r="O17" s="370">
        <v>140</v>
      </c>
      <c r="P17" s="370"/>
      <c r="Q17" s="370">
        <f>ROUND(O17*0.175,2)</f>
        <v>24.5</v>
      </c>
      <c r="R17" s="331">
        <f t="shared" si="3"/>
        <v>164.5</v>
      </c>
      <c r="S17" s="332">
        <f t="shared" si="4"/>
        <v>1267.6000000000001</v>
      </c>
      <c r="T17" s="352" t="s">
        <v>23</v>
      </c>
      <c r="X17" s="182"/>
    </row>
    <row r="18" spans="1:25" ht="19" x14ac:dyDescent="0.25">
      <c r="A18" s="324">
        <v>40450</v>
      </c>
      <c r="B18" s="215" t="s">
        <v>159</v>
      </c>
      <c r="C18" s="227" t="s">
        <v>160</v>
      </c>
      <c r="D18" s="325" t="s">
        <v>154</v>
      </c>
      <c r="E18" s="326">
        <v>100294</v>
      </c>
      <c r="F18" s="366"/>
      <c r="G18" s="231"/>
      <c r="H18" s="367"/>
      <c r="I18" s="327"/>
      <c r="J18" s="231"/>
      <c r="K18" s="231"/>
      <c r="L18" s="369">
        <v>50</v>
      </c>
      <c r="M18" s="231"/>
      <c r="N18" s="370"/>
      <c r="O18" s="370"/>
      <c r="P18" s="370"/>
      <c r="Q18" s="370">
        <f>ROUND(L18*0.175,2)</f>
        <v>8.75</v>
      </c>
      <c r="R18" s="331">
        <f t="shared" si="3"/>
        <v>58.75</v>
      </c>
      <c r="S18" s="332">
        <f t="shared" si="4"/>
        <v>1208.8500000000001</v>
      </c>
      <c r="T18" s="352" t="s">
        <v>23</v>
      </c>
      <c r="V18" s="371"/>
      <c r="W18" s="372"/>
      <c r="X18" s="182"/>
    </row>
    <row r="19" spans="1:25" ht="19" x14ac:dyDescent="0.25">
      <c r="A19" s="324">
        <v>40452</v>
      </c>
      <c r="B19" s="215" t="s">
        <v>137</v>
      </c>
      <c r="C19" s="227" t="s">
        <v>161</v>
      </c>
      <c r="D19" s="325" t="s">
        <v>154</v>
      </c>
      <c r="E19" s="326">
        <v>100295</v>
      </c>
      <c r="F19" s="366"/>
      <c r="G19" s="231"/>
      <c r="H19" s="367"/>
      <c r="I19" s="366"/>
      <c r="J19" s="231">
        <v>250.32</v>
      </c>
      <c r="K19" s="231">
        <v>54.98</v>
      </c>
      <c r="L19" s="369"/>
      <c r="M19" s="231"/>
      <c r="N19" s="370"/>
      <c r="O19" s="370"/>
      <c r="P19" s="370"/>
      <c r="Q19" s="370">
        <v>4.53</v>
      </c>
      <c r="R19" s="373">
        <f t="shared" ref="R19:R23" si="5">SUM(I19:Q19)</f>
        <v>309.83</v>
      </c>
      <c r="S19" s="332">
        <f t="shared" si="4"/>
        <v>899.02000000000021</v>
      </c>
      <c r="T19" s="352" t="s">
        <v>23</v>
      </c>
      <c r="V19" s="371"/>
      <c r="W19" s="273" t="s">
        <v>162</v>
      </c>
      <c r="X19" s="182"/>
    </row>
    <row r="20" spans="1:25" ht="19" x14ac:dyDescent="0.25">
      <c r="A20" s="324">
        <v>40569</v>
      </c>
      <c r="B20" s="215" t="s">
        <v>163</v>
      </c>
      <c r="C20" s="227" t="s">
        <v>164</v>
      </c>
      <c r="D20" s="374"/>
      <c r="E20" s="326"/>
      <c r="F20" s="366"/>
      <c r="G20" s="231"/>
      <c r="H20" s="367">
        <v>16.47</v>
      </c>
      <c r="I20" s="375"/>
      <c r="J20" s="231"/>
      <c r="K20" s="231"/>
      <c r="L20" s="221"/>
      <c r="M20" s="231"/>
      <c r="N20" s="370"/>
      <c r="O20" s="370"/>
      <c r="P20" s="370"/>
      <c r="Q20" s="370"/>
      <c r="R20" s="373">
        <f t="shared" si="5"/>
        <v>0</v>
      </c>
      <c r="S20" s="376">
        <f t="shared" ref="S20:S23" si="6">S19-SUM(I20:Q20)+SUM(F20:H20)</f>
        <v>915.49000000000024</v>
      </c>
      <c r="T20" s="352" t="s">
        <v>23</v>
      </c>
      <c r="V20" s="371"/>
      <c r="W20" s="377"/>
    </row>
    <row r="21" spans="1:25" ht="19" x14ac:dyDescent="0.25">
      <c r="A21" s="324">
        <v>40616</v>
      </c>
      <c r="B21" s="215" t="s">
        <v>137</v>
      </c>
      <c r="C21" s="227" t="s">
        <v>165</v>
      </c>
      <c r="D21" s="325" t="s">
        <v>166</v>
      </c>
      <c r="E21" s="326">
        <v>100296</v>
      </c>
      <c r="F21" s="378"/>
      <c r="G21" s="242"/>
      <c r="H21" s="379"/>
      <c r="I21" s="375"/>
      <c r="J21" s="221">
        <v>250.32</v>
      </c>
      <c r="K21" s="221">
        <f>143.03+52.47</f>
        <v>195.5</v>
      </c>
      <c r="L21" s="221"/>
      <c r="M21" s="221"/>
      <c r="N21" s="330"/>
      <c r="O21" s="330"/>
      <c r="P21" s="330"/>
      <c r="Q21" s="330">
        <f>3.71+7.02</f>
        <v>10.73</v>
      </c>
      <c r="R21" s="373">
        <f t="shared" si="5"/>
        <v>456.55</v>
      </c>
      <c r="S21" s="376">
        <f t="shared" si="6"/>
        <v>458.94000000000023</v>
      </c>
      <c r="T21" s="352" t="s">
        <v>23</v>
      </c>
      <c r="V21" s="371"/>
      <c r="W21" s="377"/>
    </row>
    <row r="22" spans="1:25" ht="19" x14ac:dyDescent="0.25">
      <c r="A22" s="324">
        <v>40616</v>
      </c>
      <c r="B22" s="215" t="s">
        <v>114</v>
      </c>
      <c r="C22" s="227" t="s">
        <v>167</v>
      </c>
      <c r="D22" s="325" t="s">
        <v>166</v>
      </c>
      <c r="E22" s="326">
        <v>100297</v>
      </c>
      <c r="F22" s="329"/>
      <c r="G22" s="221"/>
      <c r="H22" s="328"/>
      <c r="I22" s="380"/>
      <c r="J22" s="221"/>
      <c r="K22" s="221"/>
      <c r="L22" s="221">
        <v>20</v>
      </c>
      <c r="M22" s="221"/>
      <c r="N22" s="330"/>
      <c r="O22" s="330"/>
      <c r="P22" s="330"/>
      <c r="Q22" s="330">
        <v>4</v>
      </c>
      <c r="R22" s="373">
        <f t="shared" si="5"/>
        <v>24</v>
      </c>
      <c r="S22" s="376">
        <f t="shared" si="6"/>
        <v>434.94000000000023</v>
      </c>
      <c r="T22" s="352" t="s">
        <v>23</v>
      </c>
      <c r="V22" s="371" t="s">
        <v>168</v>
      </c>
      <c r="W22" s="372">
        <f>S22</f>
        <v>434.94000000000023</v>
      </c>
      <c r="Y22" s="381">
        <v>40638</v>
      </c>
    </row>
    <row r="23" spans="1:25" ht="19" x14ac:dyDescent="0.25">
      <c r="A23" s="324">
        <v>40616</v>
      </c>
      <c r="B23" s="215" t="s">
        <v>112</v>
      </c>
      <c r="C23" s="227" t="s">
        <v>169</v>
      </c>
      <c r="D23" s="325" t="s">
        <v>166</v>
      </c>
      <c r="E23" s="326">
        <v>100298</v>
      </c>
      <c r="F23" s="366"/>
      <c r="G23" s="231"/>
      <c r="H23" s="367"/>
      <c r="I23" s="375"/>
      <c r="J23" s="231"/>
      <c r="K23" s="231"/>
      <c r="L23" s="231"/>
      <c r="M23" s="221">
        <v>25</v>
      </c>
      <c r="N23" s="330"/>
      <c r="O23" s="330"/>
      <c r="P23" s="330"/>
      <c r="Q23" s="370"/>
      <c r="R23" s="373">
        <f t="shared" si="5"/>
        <v>25</v>
      </c>
      <c r="S23" s="376">
        <f t="shared" si="6"/>
        <v>409.94000000000023</v>
      </c>
      <c r="T23" s="352" t="s">
        <v>23</v>
      </c>
      <c r="V23" s="371"/>
      <c r="W23" s="372"/>
    </row>
    <row r="24" spans="1:25" ht="19" x14ac:dyDescent="0.25">
      <c r="A24" s="324"/>
      <c r="B24" s="215"/>
      <c r="C24" s="227"/>
      <c r="D24" s="374"/>
      <c r="E24" s="326"/>
      <c r="F24" s="366"/>
      <c r="G24" s="231"/>
      <c r="H24" s="367"/>
      <c r="I24" s="375"/>
      <c r="J24" s="231"/>
      <c r="K24" s="231"/>
      <c r="L24" s="231"/>
      <c r="M24" s="221"/>
      <c r="N24" s="330"/>
      <c r="O24" s="330"/>
      <c r="P24" s="330"/>
      <c r="Q24" s="370"/>
      <c r="R24" s="373"/>
      <c r="S24" s="376"/>
      <c r="T24" s="352"/>
      <c r="V24" s="371"/>
      <c r="W24" s="377"/>
    </row>
    <row r="25" spans="1:25" ht="19" x14ac:dyDescent="0.25">
      <c r="A25" s="324"/>
      <c r="B25" s="215"/>
      <c r="C25" s="227"/>
      <c r="D25" s="374"/>
      <c r="E25" s="354"/>
      <c r="F25" s="366"/>
      <c r="G25" s="231"/>
      <c r="H25" s="367"/>
      <c r="I25" s="375"/>
      <c r="J25" s="231"/>
      <c r="K25" s="231"/>
      <c r="L25" s="231"/>
      <c r="M25" s="221"/>
      <c r="N25" s="330"/>
      <c r="O25" s="330"/>
      <c r="P25" s="330"/>
      <c r="Q25" s="370"/>
      <c r="R25" s="373"/>
      <c r="S25" s="376"/>
      <c r="T25" s="352"/>
      <c r="V25" s="371"/>
      <c r="W25" s="377"/>
    </row>
    <row r="26" spans="1:25" ht="19" x14ac:dyDescent="0.25">
      <c r="A26" s="324"/>
      <c r="B26" s="215"/>
      <c r="C26" s="227"/>
      <c r="D26" s="374"/>
      <c r="E26" s="354"/>
      <c r="F26" s="366"/>
      <c r="G26" s="231"/>
      <c r="H26" s="367"/>
      <c r="I26" s="375"/>
      <c r="J26" s="231"/>
      <c r="K26" s="231"/>
      <c r="L26" s="231"/>
      <c r="M26" s="221"/>
      <c r="N26" s="330"/>
      <c r="O26" s="330"/>
      <c r="P26" s="330"/>
      <c r="Q26" s="370"/>
      <c r="R26" s="373"/>
      <c r="S26" s="332"/>
      <c r="T26" s="352"/>
      <c r="X26" s="244"/>
    </row>
    <row r="27" spans="1:25" ht="19" x14ac:dyDescent="0.25">
      <c r="A27" s="324"/>
      <c r="B27" s="215"/>
      <c r="C27" s="227"/>
      <c r="D27" s="374"/>
      <c r="E27" s="326"/>
      <c r="F27" s="366"/>
      <c r="G27" s="231"/>
      <c r="H27" s="367"/>
      <c r="I27" s="375"/>
      <c r="J27" s="231"/>
      <c r="K27" s="231"/>
      <c r="L27" s="231"/>
      <c r="M27" s="221"/>
      <c r="N27" s="330"/>
      <c r="O27" s="330"/>
      <c r="P27" s="330"/>
      <c r="Q27" s="370"/>
      <c r="R27" s="373"/>
      <c r="S27" s="376"/>
      <c r="T27" s="352"/>
      <c r="V27" s="371"/>
      <c r="W27" s="372"/>
      <c r="X27" s="244"/>
    </row>
    <row r="28" spans="1:25" ht="19" x14ac:dyDescent="0.25">
      <c r="A28" s="324"/>
      <c r="B28" s="215"/>
      <c r="C28" s="227"/>
      <c r="D28" s="374"/>
      <c r="E28" s="354"/>
      <c r="F28" s="366"/>
      <c r="G28" s="231"/>
      <c r="H28" s="367"/>
      <c r="I28" s="375"/>
      <c r="J28" s="231"/>
      <c r="K28" s="231"/>
      <c r="L28" s="231"/>
      <c r="M28" s="221"/>
      <c r="N28" s="330"/>
      <c r="O28" s="330"/>
      <c r="P28" s="330"/>
      <c r="Q28" s="370"/>
      <c r="R28" s="373"/>
      <c r="S28" s="376"/>
      <c r="T28" s="352"/>
    </row>
    <row r="29" spans="1:25" ht="19" x14ac:dyDescent="0.25">
      <c r="A29" s="324"/>
      <c r="B29" s="215"/>
      <c r="C29" s="227"/>
      <c r="D29" s="374"/>
      <c r="E29" s="354"/>
      <c r="F29" s="366"/>
      <c r="G29" s="231"/>
      <c r="H29" s="367"/>
      <c r="I29" s="375"/>
      <c r="J29" s="231"/>
      <c r="K29" s="231"/>
      <c r="L29" s="231"/>
      <c r="M29" s="221"/>
      <c r="N29" s="330"/>
      <c r="O29" s="330"/>
      <c r="P29" s="330"/>
      <c r="Q29" s="370"/>
      <c r="R29" s="373"/>
      <c r="S29" s="376"/>
      <c r="T29" s="352"/>
    </row>
    <row r="30" spans="1:25" ht="19" x14ac:dyDescent="0.25">
      <c r="A30" s="324"/>
      <c r="B30" s="215"/>
      <c r="C30" s="227"/>
      <c r="D30" s="374"/>
      <c r="E30" s="354"/>
      <c r="F30" s="366"/>
      <c r="G30" s="231"/>
      <c r="H30" s="367"/>
      <c r="I30" s="375"/>
      <c r="J30" s="231"/>
      <c r="K30" s="231"/>
      <c r="L30" s="231"/>
      <c r="M30" s="221"/>
      <c r="N30" s="330"/>
      <c r="O30" s="330"/>
      <c r="P30" s="330"/>
      <c r="Q30" s="370"/>
      <c r="R30" s="373"/>
      <c r="S30" s="376"/>
      <c r="T30" s="352"/>
    </row>
    <row r="31" spans="1:25" ht="19" x14ac:dyDescent="0.25">
      <c r="A31" s="324"/>
      <c r="B31" s="215"/>
      <c r="C31" s="227"/>
      <c r="D31" s="374"/>
      <c r="E31" s="354"/>
      <c r="F31" s="366"/>
      <c r="G31" s="231"/>
      <c r="H31" s="367"/>
      <c r="I31" s="375"/>
      <c r="J31" s="231"/>
      <c r="K31" s="231"/>
      <c r="L31" s="231"/>
      <c r="M31" s="221"/>
      <c r="N31" s="330"/>
      <c r="O31" s="330"/>
      <c r="P31" s="330"/>
      <c r="Q31" s="370"/>
      <c r="R31" s="373"/>
      <c r="S31" s="376"/>
      <c r="T31" s="352"/>
    </row>
    <row r="32" spans="1:25" ht="19" x14ac:dyDescent="0.25">
      <c r="A32" s="324"/>
      <c r="B32" s="215"/>
      <c r="C32" s="227"/>
      <c r="D32" s="374"/>
      <c r="E32" s="354"/>
      <c r="F32" s="366"/>
      <c r="G32" s="231"/>
      <c r="H32" s="367"/>
      <c r="I32" s="375"/>
      <c r="J32" s="231"/>
      <c r="K32" s="231"/>
      <c r="L32" s="231"/>
      <c r="M32" s="221"/>
      <c r="N32" s="330"/>
      <c r="O32" s="330"/>
      <c r="P32" s="330"/>
      <c r="Q32" s="370"/>
      <c r="R32" s="373"/>
      <c r="S32" s="376"/>
      <c r="T32" s="352"/>
    </row>
    <row r="33" spans="1:24" ht="19" x14ac:dyDescent="0.25">
      <c r="A33" s="324"/>
      <c r="B33" s="215"/>
      <c r="C33" s="227"/>
      <c r="D33" s="374"/>
      <c r="E33" s="354"/>
      <c r="F33" s="366"/>
      <c r="G33" s="231"/>
      <c r="H33" s="367"/>
      <c r="I33" s="375"/>
      <c r="J33" s="231"/>
      <c r="K33" s="231"/>
      <c r="L33" s="221"/>
      <c r="M33" s="231"/>
      <c r="N33" s="370"/>
      <c r="O33" s="370"/>
      <c r="P33" s="370"/>
      <c r="Q33" s="370"/>
      <c r="R33" s="373"/>
      <c r="S33" s="376"/>
      <c r="T33" s="352"/>
      <c r="X33" s="247"/>
    </row>
    <row r="34" spans="1:24" ht="20" thickBot="1" x14ac:dyDescent="0.3">
      <c r="A34" s="382"/>
      <c r="B34" s="215"/>
      <c r="C34" s="227"/>
      <c r="D34" s="383"/>
      <c r="E34" s="384"/>
      <c r="F34" s="385"/>
      <c r="G34" s="386"/>
      <c r="H34" s="387"/>
      <c r="I34" s="388"/>
      <c r="J34" s="386"/>
      <c r="K34" s="386"/>
      <c r="L34" s="386"/>
      <c r="M34" s="386"/>
      <c r="N34" s="389"/>
      <c r="O34" s="389"/>
      <c r="P34" s="389"/>
      <c r="Q34" s="389"/>
      <c r="R34" s="390"/>
      <c r="S34" s="391"/>
      <c r="T34" s="392"/>
      <c r="X34" s="247"/>
    </row>
    <row r="35" spans="1:24" ht="21" thickTop="1" thickBot="1" x14ac:dyDescent="0.3">
      <c r="A35" s="258"/>
      <c r="B35" s="259"/>
      <c r="C35" s="260" t="s">
        <v>122</v>
      </c>
      <c r="D35" s="393"/>
      <c r="E35" s="394"/>
      <c r="F35" s="395">
        <f>SUM(F8:F34)</f>
        <v>1500</v>
      </c>
      <c r="G35" s="395">
        <f t="shared" ref="G35:H35" si="7">SUM(G9:G34)</f>
        <v>0</v>
      </c>
      <c r="H35" s="396">
        <f t="shared" si="7"/>
        <v>16.47</v>
      </c>
      <c r="I35" s="397">
        <f>SUM(I5:I34)</f>
        <v>150</v>
      </c>
      <c r="J35" s="398">
        <f>SUM(J5:J34)</f>
        <v>834.39999999999986</v>
      </c>
      <c r="K35" s="398">
        <f t="shared" ref="K35:P35" si="8">SUM(K5:K34)</f>
        <v>332.28</v>
      </c>
      <c r="L35" s="398">
        <f t="shared" si="8"/>
        <v>105</v>
      </c>
      <c r="M35" s="398">
        <f t="shared" si="8"/>
        <v>358.77</v>
      </c>
      <c r="N35" s="398">
        <f t="shared" si="8"/>
        <v>375</v>
      </c>
      <c r="O35" s="398">
        <f t="shared" si="8"/>
        <v>140</v>
      </c>
      <c r="P35" s="398">
        <f t="shared" si="8"/>
        <v>0</v>
      </c>
      <c r="Q35" s="399">
        <f>SUM(Q5:Q34)</f>
        <v>53.790000000000006</v>
      </c>
      <c r="R35" s="400">
        <f>SUM(I35:Q35)</f>
        <v>2349.2399999999998</v>
      </c>
      <c r="S35" s="401">
        <f>S3+SUM(F35:H35)-R35</f>
        <v>409.94000000000051</v>
      </c>
      <c r="T35" s="402"/>
    </row>
    <row r="36" spans="1:24" ht="18" thickTop="1" x14ac:dyDescent="0.25"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</row>
    <row r="37" spans="1:24" hidden="1" x14ac:dyDescent="0.25"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 t="s">
        <v>170</v>
      </c>
      <c r="R37" s="268">
        <f>SUM(R5:R34)</f>
        <v>2349.2399999999998</v>
      </c>
      <c r="S37" s="403"/>
    </row>
    <row r="38" spans="1:24" hidden="1" x14ac:dyDescent="0.25"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 t="s">
        <v>171</v>
      </c>
      <c r="R38" s="268">
        <f>J35</f>
        <v>834.39999999999986</v>
      </c>
      <c r="S38" s="268"/>
    </row>
    <row r="39" spans="1:24" hidden="1" x14ac:dyDescent="0.25"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 t="s">
        <v>172</v>
      </c>
      <c r="R39" s="268">
        <f>I35+SUM(K35:Q35)</f>
        <v>1514.84</v>
      </c>
      <c r="S39" s="268"/>
    </row>
    <row r="40" spans="1:24" hidden="1" x14ac:dyDescent="0.25"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>
        <f>SUM(R38:R39)</f>
        <v>2349.2399999999998</v>
      </c>
      <c r="S40" s="268"/>
    </row>
    <row r="41" spans="1:24" x14ac:dyDescent="0.25"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</row>
    <row r="42" spans="1:24" x14ac:dyDescent="0.25"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</row>
    <row r="43" spans="1:24" x14ac:dyDescent="0.25"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</row>
    <row r="44" spans="1:24" x14ac:dyDescent="0.25"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</row>
    <row r="45" spans="1:24" x14ac:dyDescent="0.25"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</row>
    <row r="46" spans="1:24" x14ac:dyDescent="0.25"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</row>
    <row r="47" spans="1:24" x14ac:dyDescent="0.25"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</row>
    <row r="48" spans="1:24" x14ac:dyDescent="0.25"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</row>
    <row r="49" spans="6:19" x14ac:dyDescent="0.25"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</row>
    <row r="50" spans="6:19" x14ac:dyDescent="0.25"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</row>
    <row r="51" spans="6:19" x14ac:dyDescent="0.25"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</row>
    <row r="52" spans="6:19" x14ac:dyDescent="0.25"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</row>
    <row r="53" spans="6:19" x14ac:dyDescent="0.25"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</row>
    <row r="54" spans="6:19" x14ac:dyDescent="0.25"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</row>
    <row r="55" spans="6:19" x14ac:dyDescent="0.25"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</row>
    <row r="56" spans="6:19" x14ac:dyDescent="0.25"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</row>
    <row r="57" spans="6:19" x14ac:dyDescent="0.25"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</row>
    <row r="58" spans="6:19" x14ac:dyDescent="0.25"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</row>
    <row r="59" spans="6:19" x14ac:dyDescent="0.25"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</row>
    <row r="60" spans="6:19" x14ac:dyDescent="0.25"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</row>
    <row r="61" spans="6:19" x14ac:dyDescent="0.25"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</row>
    <row r="62" spans="6:19" x14ac:dyDescent="0.25"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</row>
    <row r="63" spans="6:19" x14ac:dyDescent="0.25"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</row>
    <row r="64" spans="6:19" x14ac:dyDescent="0.25"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</row>
    <row r="65" spans="6:19" x14ac:dyDescent="0.25"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</row>
    <row r="66" spans="6:19" x14ac:dyDescent="0.25"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</row>
    <row r="67" spans="6:19" x14ac:dyDescent="0.25"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</row>
    <row r="68" spans="6:19" x14ac:dyDescent="0.25"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</row>
    <row r="69" spans="6:19" x14ac:dyDescent="0.25"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</row>
    <row r="70" spans="6:19" x14ac:dyDescent="0.25"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</row>
    <row r="71" spans="6:19" x14ac:dyDescent="0.25"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</row>
    <row r="72" spans="6:19" x14ac:dyDescent="0.25"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</row>
    <row r="73" spans="6:19" x14ac:dyDescent="0.25"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</row>
    <row r="74" spans="6:19" x14ac:dyDescent="0.25"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</row>
    <row r="75" spans="6:19" x14ac:dyDescent="0.25"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</row>
    <row r="76" spans="6:19" x14ac:dyDescent="0.25"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</row>
    <row r="77" spans="6:19" x14ac:dyDescent="0.25"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</row>
    <row r="78" spans="6:19" x14ac:dyDescent="0.25">
      <c r="F78" s="268"/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</row>
    <row r="79" spans="6:19" x14ac:dyDescent="0.25"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</row>
    <row r="80" spans="6:19" x14ac:dyDescent="0.25"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</row>
    <row r="81" spans="6:19" x14ac:dyDescent="0.25"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</row>
    <row r="82" spans="6:19" x14ac:dyDescent="0.25"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</row>
    <row r="83" spans="6:19" x14ac:dyDescent="0.25">
      <c r="F83" s="268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</row>
    <row r="84" spans="6:19" x14ac:dyDescent="0.25">
      <c r="F84" s="268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</row>
    <row r="85" spans="6:19" x14ac:dyDescent="0.25"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</row>
    <row r="86" spans="6:19" x14ac:dyDescent="0.25"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</row>
    <row r="87" spans="6:19" x14ac:dyDescent="0.25"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</row>
    <row r="88" spans="6:19" x14ac:dyDescent="0.25"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</row>
    <row r="89" spans="6:19" x14ac:dyDescent="0.25"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</row>
    <row r="90" spans="6:19" x14ac:dyDescent="0.25">
      <c r="F90" s="268"/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</row>
    <row r="91" spans="6:19" x14ac:dyDescent="0.25"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</row>
    <row r="92" spans="6:19" x14ac:dyDescent="0.25"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</row>
    <row r="93" spans="6:19" x14ac:dyDescent="0.25"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</row>
    <row r="94" spans="6:19" x14ac:dyDescent="0.25"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</row>
    <row r="95" spans="6:19" x14ac:dyDescent="0.25"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</row>
    <row r="96" spans="6:19" x14ac:dyDescent="0.25"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</row>
    <row r="97" spans="6:19" x14ac:dyDescent="0.25">
      <c r="F97" s="268"/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</row>
    <row r="98" spans="6:19" x14ac:dyDescent="0.25">
      <c r="F98" s="268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</row>
    <row r="99" spans="6:19" x14ac:dyDescent="0.25">
      <c r="F99" s="268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</row>
    <row r="100" spans="6:19" x14ac:dyDescent="0.25"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</row>
    <row r="101" spans="6:19" x14ac:dyDescent="0.25"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</row>
    <row r="102" spans="6:19" x14ac:dyDescent="0.25"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</row>
    <row r="103" spans="6:19" x14ac:dyDescent="0.25"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</row>
    <row r="104" spans="6:19" x14ac:dyDescent="0.25"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</row>
    <row r="105" spans="6:19" x14ac:dyDescent="0.25"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</row>
    <row r="106" spans="6:19" x14ac:dyDescent="0.25"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</row>
    <row r="107" spans="6:19" x14ac:dyDescent="0.25"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</row>
    <row r="108" spans="6:19" x14ac:dyDescent="0.25"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</row>
    <row r="109" spans="6:19" x14ac:dyDescent="0.25"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</row>
    <row r="110" spans="6:19" x14ac:dyDescent="0.25"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</row>
    <row r="111" spans="6:19" x14ac:dyDescent="0.25"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</row>
    <row r="112" spans="6:19" x14ac:dyDescent="0.25"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</row>
    <row r="113" spans="6:19" x14ac:dyDescent="0.25"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</row>
    <row r="114" spans="6:19" x14ac:dyDescent="0.25"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</row>
    <row r="115" spans="6:19" x14ac:dyDescent="0.25"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</row>
    <row r="116" spans="6:19" x14ac:dyDescent="0.25"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</row>
    <row r="117" spans="6:19" x14ac:dyDescent="0.25"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</row>
    <row r="118" spans="6:19" x14ac:dyDescent="0.25"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</row>
    <row r="119" spans="6:19" x14ac:dyDescent="0.25"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</row>
    <row r="120" spans="6:19" x14ac:dyDescent="0.25"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</row>
    <row r="121" spans="6:19" x14ac:dyDescent="0.25"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</row>
    <row r="122" spans="6:19" x14ac:dyDescent="0.25"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</row>
    <row r="123" spans="6:19" x14ac:dyDescent="0.25"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</row>
    <row r="124" spans="6:19" x14ac:dyDescent="0.25"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</row>
    <row r="125" spans="6:19" x14ac:dyDescent="0.25"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</row>
    <row r="126" spans="6:19" x14ac:dyDescent="0.25"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</row>
    <row r="127" spans="6:19" x14ac:dyDescent="0.25"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</row>
    <row r="128" spans="6:19" x14ac:dyDescent="0.25"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</row>
    <row r="129" spans="6:19" x14ac:dyDescent="0.25"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</row>
    <row r="130" spans="6:19" x14ac:dyDescent="0.25"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</row>
    <row r="131" spans="6:19" x14ac:dyDescent="0.25"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</row>
    <row r="132" spans="6:19" x14ac:dyDescent="0.25"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</row>
    <row r="133" spans="6:19" x14ac:dyDescent="0.25"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</row>
    <row r="134" spans="6:19" x14ac:dyDescent="0.25"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</row>
    <row r="135" spans="6:19" x14ac:dyDescent="0.25"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</row>
    <row r="136" spans="6:19" x14ac:dyDescent="0.25"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</row>
    <row r="137" spans="6:19" x14ac:dyDescent="0.25"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</row>
    <row r="138" spans="6:19" x14ac:dyDescent="0.25"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</row>
    <row r="139" spans="6:19" x14ac:dyDescent="0.25"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</row>
    <row r="140" spans="6:19" x14ac:dyDescent="0.25"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</row>
    <row r="141" spans="6:19" x14ac:dyDescent="0.25"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</row>
    <row r="142" spans="6:19" x14ac:dyDescent="0.25"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</row>
    <row r="143" spans="6:19" x14ac:dyDescent="0.25"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</row>
    <row r="144" spans="6:19" x14ac:dyDescent="0.25"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</row>
    <row r="145" spans="6:19" x14ac:dyDescent="0.25"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</row>
    <row r="146" spans="6:19" x14ac:dyDescent="0.25"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</row>
    <row r="147" spans="6:19" x14ac:dyDescent="0.25"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</row>
    <row r="148" spans="6:19" x14ac:dyDescent="0.25"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</row>
    <row r="149" spans="6:19" x14ac:dyDescent="0.25"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</row>
    <row r="150" spans="6:19" x14ac:dyDescent="0.25"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</row>
    <row r="151" spans="6:19" x14ac:dyDescent="0.25"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</row>
    <row r="152" spans="6:19" x14ac:dyDescent="0.25"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</row>
    <row r="153" spans="6:19" x14ac:dyDescent="0.25"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</row>
    <row r="154" spans="6:19" x14ac:dyDescent="0.25"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</row>
    <row r="155" spans="6:19" x14ac:dyDescent="0.25"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</row>
    <row r="156" spans="6:19" x14ac:dyDescent="0.25"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</row>
    <row r="157" spans="6:19" x14ac:dyDescent="0.25"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</row>
    <row r="158" spans="6:19" x14ac:dyDescent="0.25"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</row>
    <row r="159" spans="6:19" x14ac:dyDescent="0.25"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</row>
    <row r="160" spans="6:19" x14ac:dyDescent="0.25"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</row>
    <row r="161" spans="6:19" x14ac:dyDescent="0.25"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</row>
    <row r="162" spans="6:19" x14ac:dyDescent="0.25"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</row>
    <row r="163" spans="6:19" x14ac:dyDescent="0.25"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</row>
    <row r="164" spans="6:19" x14ac:dyDescent="0.25"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</row>
    <row r="165" spans="6:19" x14ac:dyDescent="0.25"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</row>
    <row r="166" spans="6:19" x14ac:dyDescent="0.25"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</row>
    <row r="167" spans="6:19" x14ac:dyDescent="0.25"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</row>
    <row r="168" spans="6:19" x14ac:dyDescent="0.25"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</row>
    <row r="169" spans="6:19" x14ac:dyDescent="0.25"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</row>
    <row r="170" spans="6:19" x14ac:dyDescent="0.25"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</row>
    <row r="171" spans="6:19" x14ac:dyDescent="0.25">
      <c r="F171" s="268"/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</row>
    <row r="172" spans="6:19" x14ac:dyDescent="0.25">
      <c r="F172" s="268"/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</row>
    <row r="173" spans="6:19" x14ac:dyDescent="0.25">
      <c r="F173" s="268"/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</row>
    <row r="174" spans="6:19" x14ac:dyDescent="0.25">
      <c r="F174" s="268"/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</row>
    <row r="175" spans="6:19" x14ac:dyDescent="0.25">
      <c r="F175" s="268"/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</row>
    <row r="176" spans="6:19" x14ac:dyDescent="0.25">
      <c r="F176" s="268"/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</row>
    <row r="177" spans="6:19" x14ac:dyDescent="0.25">
      <c r="F177" s="268"/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</row>
    <row r="178" spans="6:19" x14ac:dyDescent="0.25">
      <c r="F178" s="268"/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</row>
    <row r="179" spans="6:19" x14ac:dyDescent="0.25">
      <c r="F179" s="268"/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</row>
    <row r="180" spans="6:19" x14ac:dyDescent="0.25">
      <c r="F180" s="268"/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</row>
    <row r="181" spans="6:19" x14ac:dyDescent="0.25">
      <c r="F181" s="268"/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</row>
    <row r="182" spans="6:19" x14ac:dyDescent="0.25">
      <c r="F182" s="268"/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</row>
    <row r="183" spans="6:19" x14ac:dyDescent="0.25">
      <c r="F183" s="268"/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</row>
    <row r="184" spans="6:19" x14ac:dyDescent="0.25">
      <c r="F184" s="268"/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</row>
    <row r="185" spans="6:19" x14ac:dyDescent="0.25">
      <c r="F185" s="268"/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</row>
    <row r="186" spans="6:19" x14ac:dyDescent="0.25">
      <c r="F186" s="268"/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</row>
    <row r="187" spans="6:19" x14ac:dyDescent="0.25">
      <c r="F187" s="268"/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</row>
    <row r="188" spans="6:19" x14ac:dyDescent="0.25"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</row>
    <row r="189" spans="6:19" x14ac:dyDescent="0.25">
      <c r="F189" s="268"/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</row>
    <row r="190" spans="6:19" x14ac:dyDescent="0.25">
      <c r="F190" s="268"/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</row>
    <row r="191" spans="6:19" x14ac:dyDescent="0.25">
      <c r="F191" s="268"/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</row>
    <row r="192" spans="6:19" x14ac:dyDescent="0.25">
      <c r="F192" s="268"/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</row>
    <row r="193" spans="6:19" x14ac:dyDescent="0.25">
      <c r="F193" s="268"/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</row>
    <row r="194" spans="6:19" x14ac:dyDescent="0.25">
      <c r="F194" s="268"/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</row>
    <row r="195" spans="6:19" x14ac:dyDescent="0.25">
      <c r="F195" s="268"/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</row>
    <row r="196" spans="6:19" x14ac:dyDescent="0.25">
      <c r="F196" s="268"/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</row>
    <row r="197" spans="6:19" x14ac:dyDescent="0.25">
      <c r="F197" s="268"/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</row>
    <row r="198" spans="6:19" x14ac:dyDescent="0.25">
      <c r="F198" s="268"/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</row>
    <row r="199" spans="6:19" x14ac:dyDescent="0.25"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</row>
    <row r="200" spans="6:19" x14ac:dyDescent="0.25">
      <c r="F200" s="268"/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</row>
    <row r="201" spans="6:19" x14ac:dyDescent="0.25"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</row>
    <row r="202" spans="6:19" x14ac:dyDescent="0.25">
      <c r="F202" s="268"/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</row>
    <row r="203" spans="6:19" x14ac:dyDescent="0.25">
      <c r="F203" s="268"/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</row>
    <row r="204" spans="6:19" x14ac:dyDescent="0.25">
      <c r="F204" s="268"/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</row>
    <row r="205" spans="6:19" x14ac:dyDescent="0.25">
      <c r="F205" s="268"/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</row>
    <row r="206" spans="6:19" x14ac:dyDescent="0.25">
      <c r="F206" s="268"/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</row>
    <row r="207" spans="6:19" x14ac:dyDescent="0.25">
      <c r="F207" s="268"/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</row>
    <row r="208" spans="6:19" x14ac:dyDescent="0.25">
      <c r="F208" s="268"/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</row>
  </sheetData>
  <mergeCells count="3">
    <mergeCell ref="A1:D1"/>
    <mergeCell ref="F1:H1"/>
    <mergeCell ref="I1:Q1"/>
  </mergeCells>
  <conditionalFormatting sqref="I4:Q4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08"/>
  <sheetViews>
    <sheetView workbookViewId="0"/>
  </sheetViews>
  <sheetFormatPr baseColWidth="10" defaultColWidth="9.1640625" defaultRowHeight="19" x14ac:dyDescent="0.25"/>
  <cols>
    <col min="1" max="1" width="1.5" style="155" customWidth="1"/>
    <col min="2" max="2" width="11.83203125" style="155" customWidth="1"/>
    <col min="3" max="3" width="19.6640625" style="155" customWidth="1"/>
    <col min="4" max="4" width="53.5" style="267" customWidth="1"/>
    <col min="5" max="5" width="30.1640625" style="267" customWidth="1"/>
    <col min="6" max="6" width="12.83203125" style="155" customWidth="1"/>
    <col min="7" max="7" width="13" style="155" customWidth="1"/>
    <col min="8" max="8" width="11.83203125" style="155" customWidth="1"/>
    <col min="9" max="9" width="10.5" style="155" customWidth="1"/>
    <col min="10" max="10" width="11.33203125" style="155" customWidth="1"/>
    <col min="11" max="11" width="13.1640625" style="155" customWidth="1"/>
    <col min="12" max="12" width="17.5" style="155" customWidth="1"/>
    <col min="13" max="13" width="15.83203125" style="155" customWidth="1"/>
    <col min="14" max="17" width="17.5" style="155" customWidth="1"/>
    <col min="18" max="19" width="13.83203125" style="155" customWidth="1"/>
    <col min="20" max="20" width="15.1640625" style="155" customWidth="1"/>
    <col min="21" max="21" width="10.5" style="269" hidden="1" customWidth="1"/>
    <col min="22" max="22" width="1.33203125" style="159" customWidth="1"/>
    <col min="23" max="23" width="23.6640625" style="203" hidden="1" customWidth="1"/>
    <col min="24" max="24" width="15.33203125" style="159" customWidth="1"/>
    <col min="25" max="25" width="13.5" style="160" bestFit="1" customWidth="1"/>
    <col min="26" max="26" width="9.1640625" style="161"/>
    <col min="27" max="27" width="2.5" style="159" customWidth="1"/>
    <col min="28" max="28" width="9.83203125" style="266" customWidth="1"/>
    <col min="29" max="29" width="30.83203125" style="163" customWidth="1"/>
    <col min="30" max="30" width="1.6640625" style="163" customWidth="1"/>
    <col min="31" max="37" width="9.1640625" style="159"/>
    <col min="38" max="16384" width="9.1640625" style="155"/>
  </cols>
  <sheetData>
    <row r="1" spans="2:37" ht="6.75" customHeight="1" thickBot="1" x14ac:dyDescent="0.3"/>
    <row r="2" spans="2:37" s="269" customFormat="1" ht="19.5" customHeight="1" thickTop="1" x14ac:dyDescent="0.25">
      <c r="B2" s="1214" t="s">
        <v>173</v>
      </c>
      <c r="C2" s="1215"/>
      <c r="D2" s="1215"/>
      <c r="E2" s="1216"/>
      <c r="F2" s="495"/>
      <c r="G2" s="1217" t="s">
        <v>174</v>
      </c>
      <c r="H2" s="1218"/>
      <c r="I2" s="1219"/>
      <c r="J2" s="1220" t="s">
        <v>175</v>
      </c>
      <c r="K2" s="1221"/>
      <c r="L2" s="1221"/>
      <c r="M2" s="1221"/>
      <c r="N2" s="1221"/>
      <c r="O2" s="1221"/>
      <c r="P2" s="1221"/>
      <c r="Q2" s="1221"/>
      <c r="R2" s="1221"/>
      <c r="S2" s="496"/>
      <c r="T2" s="497"/>
      <c r="U2" s="493"/>
      <c r="V2" s="180"/>
      <c r="W2" s="273"/>
      <c r="X2" s="180"/>
      <c r="Y2" s="404"/>
      <c r="Z2" s="161"/>
      <c r="AA2" s="180"/>
      <c r="AB2" s="405"/>
      <c r="AC2" s="182"/>
      <c r="AD2" s="182"/>
      <c r="AE2" s="180"/>
      <c r="AF2" s="180"/>
      <c r="AG2" s="180"/>
      <c r="AH2" s="180"/>
      <c r="AI2" s="180"/>
      <c r="AJ2" s="180"/>
      <c r="AK2" s="180"/>
    </row>
    <row r="3" spans="2:37" s="286" customFormat="1" ht="43.5" customHeight="1" thickBot="1" x14ac:dyDescent="0.25">
      <c r="B3" s="498" t="s">
        <v>73</v>
      </c>
      <c r="C3" s="275" t="s">
        <v>74</v>
      </c>
      <c r="D3" s="276" t="s">
        <v>75</v>
      </c>
      <c r="E3" s="277" t="s">
        <v>76</v>
      </c>
      <c r="F3" s="278" t="s">
        <v>77</v>
      </c>
      <c r="G3" s="279" t="s">
        <v>78</v>
      </c>
      <c r="H3" s="275" t="s">
        <v>79</v>
      </c>
      <c r="I3" s="278" t="s">
        <v>80</v>
      </c>
      <c r="J3" s="279" t="s">
        <v>81</v>
      </c>
      <c r="K3" s="275" t="s">
        <v>82</v>
      </c>
      <c r="L3" s="275" t="s">
        <v>83</v>
      </c>
      <c r="M3" s="275" t="s">
        <v>84</v>
      </c>
      <c r="N3" s="275" t="s">
        <v>85</v>
      </c>
      <c r="O3" s="277" t="s">
        <v>127</v>
      </c>
      <c r="P3" s="277" t="s">
        <v>33</v>
      </c>
      <c r="Q3" s="277" t="s">
        <v>128</v>
      </c>
      <c r="R3" s="277" t="s">
        <v>80</v>
      </c>
      <c r="S3" s="280" t="s">
        <v>86</v>
      </c>
      <c r="T3" s="499" t="s">
        <v>87</v>
      </c>
      <c r="U3" s="406" t="s">
        <v>129</v>
      </c>
      <c r="V3" s="282"/>
      <c r="W3" s="283"/>
      <c r="X3" s="282"/>
      <c r="Y3" s="407"/>
      <c r="Z3" s="408"/>
      <c r="AA3" s="282"/>
      <c r="AB3" s="409"/>
      <c r="AC3" s="409"/>
      <c r="AD3" s="285"/>
      <c r="AE3" s="282"/>
      <c r="AF3" s="282"/>
      <c r="AG3" s="282"/>
      <c r="AH3" s="282"/>
      <c r="AI3" s="282"/>
      <c r="AJ3" s="282"/>
      <c r="AK3" s="282"/>
    </row>
    <row r="4" spans="2:37" s="180" customFormat="1" thickTop="1" x14ac:dyDescent="0.25">
      <c r="B4" s="500"/>
      <c r="C4" s="288"/>
      <c r="D4" s="288" t="s">
        <v>3</v>
      </c>
      <c r="E4" s="289"/>
      <c r="F4" s="290"/>
      <c r="G4" s="291">
        <v>1500</v>
      </c>
      <c r="H4" s="292">
        <v>0</v>
      </c>
      <c r="I4" s="293">
        <v>0</v>
      </c>
      <c r="J4" s="501">
        <v>210</v>
      </c>
      <c r="K4" s="502">
        <v>620</v>
      </c>
      <c r="L4" s="502">
        <v>110</v>
      </c>
      <c r="M4" s="502">
        <v>65</v>
      </c>
      <c r="N4" s="502">
        <f>205+30+110</f>
        <v>345</v>
      </c>
      <c r="O4" s="503">
        <v>127.5</v>
      </c>
      <c r="P4" s="503">
        <v>140</v>
      </c>
      <c r="Q4" s="503">
        <v>16</v>
      </c>
      <c r="R4" s="503">
        <v>0</v>
      </c>
      <c r="S4" s="504">
        <f>SUM(J4:R4)</f>
        <v>1633.5</v>
      </c>
      <c r="T4" s="505">
        <v>409.94</v>
      </c>
      <c r="U4" s="410"/>
      <c r="W4" s="273"/>
      <c r="Y4" s="160"/>
      <c r="Z4" s="161"/>
      <c r="AD4" s="171"/>
    </row>
    <row r="5" spans="2:37" s="180" customFormat="1" ht="20" thickBot="1" x14ac:dyDescent="0.3">
      <c r="B5" s="506"/>
      <c r="C5" s="299"/>
      <c r="D5" s="299" t="s">
        <v>130</v>
      </c>
      <c r="E5" s="300"/>
      <c r="F5" s="301"/>
      <c r="G5" s="302"/>
      <c r="H5" s="303"/>
      <c r="I5" s="304"/>
      <c r="J5" s="305">
        <f t="shared" ref="J5:R5" si="0">J4-J33</f>
        <v>135</v>
      </c>
      <c r="K5" s="305">
        <f t="shared" si="0"/>
        <v>119.36000000000001</v>
      </c>
      <c r="L5" s="305">
        <f t="shared" si="0"/>
        <v>-171.87</v>
      </c>
      <c r="M5" s="305">
        <f t="shared" si="0"/>
        <v>-147.5</v>
      </c>
      <c r="N5" s="305">
        <f t="shared" si="0"/>
        <v>-5.5800000000000409</v>
      </c>
      <c r="O5" s="305">
        <f t="shared" si="0"/>
        <v>2.5</v>
      </c>
      <c r="P5" s="305">
        <f t="shared" si="0"/>
        <v>140</v>
      </c>
      <c r="Q5" s="305">
        <f t="shared" si="0"/>
        <v>16</v>
      </c>
      <c r="R5" s="306">
        <f t="shared" si="0"/>
        <v>-18.53</v>
      </c>
      <c r="S5" s="411">
        <f>SUM(J5:R5)</f>
        <v>69.379999999999967</v>
      </c>
      <c r="T5" s="507"/>
      <c r="U5" s="412"/>
      <c r="W5" s="273"/>
      <c r="Y5" s="160"/>
      <c r="Z5" s="161"/>
      <c r="AB5" s="181"/>
      <c r="AC5" s="182"/>
      <c r="AD5" s="182"/>
    </row>
    <row r="6" spans="2:37" s="180" customFormat="1" x14ac:dyDescent="0.25">
      <c r="B6" s="508">
        <v>40659</v>
      </c>
      <c r="C6" s="413" t="s">
        <v>140</v>
      </c>
      <c r="D6" s="414" t="s">
        <v>141</v>
      </c>
      <c r="E6" s="415"/>
      <c r="F6" s="416"/>
      <c r="G6" s="417">
        <v>750</v>
      </c>
      <c r="H6" s="418"/>
      <c r="I6" s="419"/>
      <c r="J6" s="417"/>
      <c r="K6" s="418"/>
      <c r="L6" s="418"/>
      <c r="M6" s="420"/>
      <c r="N6" s="420"/>
      <c r="O6" s="421"/>
      <c r="P6" s="421"/>
      <c r="Q6" s="421"/>
      <c r="R6" s="421"/>
      <c r="S6" s="422">
        <f t="shared" ref="S6:S16" si="1">SUM(J6:R6)</f>
        <v>0</v>
      </c>
      <c r="T6" s="509">
        <f>T4+SUM(G6:I6)-S6</f>
        <v>1159.94</v>
      </c>
      <c r="U6" s="423" t="s">
        <v>23</v>
      </c>
      <c r="W6" s="273"/>
      <c r="Y6" s="160"/>
      <c r="Z6" s="161"/>
      <c r="AB6" s="181"/>
      <c r="AC6" s="182"/>
      <c r="AD6" s="182"/>
    </row>
    <row r="7" spans="2:37" s="159" customFormat="1" x14ac:dyDescent="0.25">
      <c r="B7" s="510">
        <v>40686</v>
      </c>
      <c r="C7" s="215" t="s">
        <v>114</v>
      </c>
      <c r="D7" s="216" t="s">
        <v>176</v>
      </c>
      <c r="E7" s="325" t="s">
        <v>177</v>
      </c>
      <c r="F7" s="354">
        <v>100299</v>
      </c>
      <c r="G7" s="327"/>
      <c r="H7" s="424"/>
      <c r="I7" s="425"/>
      <c r="J7" s="327"/>
      <c r="K7" s="424"/>
      <c r="L7" s="424"/>
      <c r="M7" s="424">
        <v>15</v>
      </c>
      <c r="N7" s="424"/>
      <c r="O7" s="426"/>
      <c r="P7" s="426"/>
      <c r="Q7" s="426"/>
      <c r="R7" s="426">
        <v>3</v>
      </c>
      <c r="S7" s="427">
        <f t="shared" si="1"/>
        <v>18</v>
      </c>
      <c r="T7" s="511">
        <f t="shared" ref="T7:T20" si="2">T6+SUM(G7:I7)-S7</f>
        <v>1141.94</v>
      </c>
      <c r="U7" s="428" t="s">
        <v>23</v>
      </c>
      <c r="W7" s="203"/>
      <c r="Y7" s="160"/>
      <c r="Z7" s="429"/>
      <c r="AB7" s="266"/>
      <c r="AC7" s="203"/>
      <c r="AD7" s="163"/>
    </row>
    <row r="8" spans="2:37" s="180" customFormat="1" x14ac:dyDescent="0.25">
      <c r="B8" s="512">
        <v>40686</v>
      </c>
      <c r="C8" s="206" t="s">
        <v>114</v>
      </c>
      <c r="D8" s="207" t="s">
        <v>178</v>
      </c>
      <c r="E8" s="325" t="s">
        <v>177</v>
      </c>
      <c r="F8" s="348">
        <v>100300</v>
      </c>
      <c r="G8" s="430"/>
      <c r="H8" s="431"/>
      <c r="I8" s="432"/>
      <c r="J8" s="430"/>
      <c r="K8" s="431"/>
      <c r="L8" s="431"/>
      <c r="M8" s="431"/>
      <c r="N8" s="431">
        <v>111</v>
      </c>
      <c r="O8" s="433"/>
      <c r="P8" s="433"/>
      <c r="Q8" s="433"/>
      <c r="R8" s="433"/>
      <c r="S8" s="427">
        <f t="shared" si="1"/>
        <v>111</v>
      </c>
      <c r="T8" s="511">
        <f>T7+SUM(G8:I8)-S8</f>
        <v>1030.94</v>
      </c>
      <c r="U8" s="434" t="s">
        <v>23</v>
      </c>
      <c r="W8" s="273"/>
      <c r="Y8" s="160"/>
      <c r="Z8" s="161"/>
      <c r="AB8" s="181"/>
      <c r="AC8" s="203"/>
      <c r="AD8" s="182"/>
    </row>
    <row r="9" spans="2:37" s="159" customFormat="1" x14ac:dyDescent="0.25">
      <c r="B9" s="510">
        <v>40721</v>
      </c>
      <c r="C9" s="215" t="s">
        <v>152</v>
      </c>
      <c r="D9" s="216" t="s">
        <v>179</v>
      </c>
      <c r="E9" s="435" t="s">
        <v>201</v>
      </c>
      <c r="F9" s="326">
        <v>100361</v>
      </c>
      <c r="G9" s="327"/>
      <c r="H9" s="424"/>
      <c r="I9" s="425"/>
      <c r="J9" s="327"/>
      <c r="K9" s="424"/>
      <c r="L9" s="424"/>
      <c r="M9" s="424">
        <v>35</v>
      </c>
      <c r="N9" s="424"/>
      <c r="O9" s="426"/>
      <c r="P9" s="426"/>
      <c r="Q9" s="426"/>
      <c r="R9" s="426"/>
      <c r="S9" s="427">
        <f t="shared" si="1"/>
        <v>35</v>
      </c>
      <c r="T9" s="511">
        <f t="shared" si="2"/>
        <v>995.94</v>
      </c>
      <c r="U9" s="428" t="s">
        <v>23</v>
      </c>
      <c r="W9" s="203"/>
      <c r="Y9" s="160"/>
      <c r="Z9" s="161"/>
      <c r="AB9" s="181"/>
      <c r="AC9" s="203"/>
      <c r="AD9" s="182"/>
    </row>
    <row r="10" spans="2:37" s="159" customFormat="1" x14ac:dyDescent="0.25">
      <c r="B10" s="510">
        <v>40721</v>
      </c>
      <c r="C10" s="215" t="s">
        <v>137</v>
      </c>
      <c r="D10" s="216" t="s">
        <v>180</v>
      </c>
      <c r="E10" s="435" t="s">
        <v>201</v>
      </c>
      <c r="F10" s="326">
        <v>100362</v>
      </c>
      <c r="G10" s="327"/>
      <c r="H10" s="424"/>
      <c r="I10" s="425"/>
      <c r="J10" s="327"/>
      <c r="K10" s="424">
        <v>100.16</v>
      </c>
      <c r="L10" s="424"/>
      <c r="M10" s="424"/>
      <c r="N10" s="424"/>
      <c r="O10" s="426"/>
      <c r="P10" s="426"/>
      <c r="Q10" s="426"/>
      <c r="R10" s="426"/>
      <c r="S10" s="427">
        <f t="shared" si="1"/>
        <v>100.16</v>
      </c>
      <c r="T10" s="511">
        <f t="shared" si="2"/>
        <v>895.78000000000009</v>
      </c>
      <c r="U10" s="428" t="s">
        <v>23</v>
      </c>
      <c r="W10" s="436">
        <f>T10+S9</f>
        <v>930.78000000000009</v>
      </c>
      <c r="Y10" s="160"/>
      <c r="Z10" s="161"/>
      <c r="AB10" s="181"/>
      <c r="AC10" s="203"/>
      <c r="AD10" s="163"/>
    </row>
    <row r="11" spans="2:37" s="159" customFormat="1" x14ac:dyDescent="0.25">
      <c r="B11" s="510">
        <v>40721</v>
      </c>
      <c r="C11" s="215" t="s">
        <v>163</v>
      </c>
      <c r="D11" s="216" t="s">
        <v>181</v>
      </c>
      <c r="E11" s="435" t="s">
        <v>201</v>
      </c>
      <c r="F11" s="326">
        <v>100364</v>
      </c>
      <c r="G11" s="327"/>
      <c r="H11" s="424"/>
      <c r="I11" s="425"/>
      <c r="J11" s="327"/>
      <c r="K11" s="424">
        <v>25</v>
      </c>
      <c r="L11" s="424"/>
      <c r="M11" s="424"/>
      <c r="N11" s="424"/>
      <c r="O11" s="426"/>
      <c r="P11" s="426"/>
      <c r="Q11" s="426"/>
      <c r="R11" s="426"/>
      <c r="S11" s="427">
        <f t="shared" si="1"/>
        <v>25</v>
      </c>
      <c r="T11" s="511">
        <f t="shared" si="2"/>
        <v>870.78000000000009</v>
      </c>
      <c r="U11" s="428" t="s">
        <v>23</v>
      </c>
      <c r="W11" s="203"/>
      <c r="Y11" s="160"/>
      <c r="Z11" s="161"/>
      <c r="AB11" s="181"/>
      <c r="AC11" s="203"/>
      <c r="AD11" s="163"/>
    </row>
    <row r="12" spans="2:37" s="159" customFormat="1" x14ac:dyDescent="0.25">
      <c r="B12" s="510">
        <v>40721</v>
      </c>
      <c r="C12" s="215" t="s">
        <v>140</v>
      </c>
      <c r="D12" s="216" t="s">
        <v>182</v>
      </c>
      <c r="E12" s="435" t="s">
        <v>201</v>
      </c>
      <c r="F12" s="326">
        <v>100365</v>
      </c>
      <c r="G12" s="327"/>
      <c r="H12" s="424"/>
      <c r="I12" s="425"/>
      <c r="J12" s="327"/>
      <c r="K12" s="424"/>
      <c r="L12" s="424"/>
      <c r="M12" s="424">
        <v>87.5</v>
      </c>
      <c r="N12" s="424"/>
      <c r="O12" s="426"/>
      <c r="P12" s="426"/>
      <c r="Q12" s="426"/>
      <c r="R12" s="426"/>
      <c r="S12" s="427">
        <f t="shared" si="1"/>
        <v>87.5</v>
      </c>
      <c r="T12" s="511">
        <f t="shared" si="2"/>
        <v>783.28000000000009</v>
      </c>
      <c r="U12" s="428" t="s">
        <v>23</v>
      </c>
      <c r="W12" s="203"/>
      <c r="Y12" s="160"/>
      <c r="Z12" s="161"/>
      <c r="AB12" s="181"/>
      <c r="AC12" s="203"/>
      <c r="AD12" s="163"/>
    </row>
    <row r="13" spans="2:37" s="159" customFormat="1" x14ac:dyDescent="0.25">
      <c r="B13" s="510">
        <v>40813</v>
      </c>
      <c r="C13" s="215" t="s">
        <v>159</v>
      </c>
      <c r="D13" s="216" t="s">
        <v>183</v>
      </c>
      <c r="E13" s="435" t="s">
        <v>201</v>
      </c>
      <c r="F13" s="326">
        <v>100366</v>
      </c>
      <c r="G13" s="327"/>
      <c r="H13" s="424"/>
      <c r="I13" s="425"/>
      <c r="J13" s="327"/>
      <c r="K13" s="424"/>
      <c r="L13" s="424"/>
      <c r="M13" s="424">
        <v>50</v>
      </c>
      <c r="N13" s="424"/>
      <c r="O13" s="426"/>
      <c r="P13" s="426"/>
      <c r="Q13" s="426"/>
      <c r="R13" s="426">
        <v>10</v>
      </c>
      <c r="S13" s="427">
        <f t="shared" si="1"/>
        <v>60</v>
      </c>
      <c r="T13" s="511">
        <f t="shared" si="2"/>
        <v>723.28000000000009</v>
      </c>
      <c r="U13" s="428" t="s">
        <v>23</v>
      </c>
      <c r="W13" s="203"/>
      <c r="Y13" s="160"/>
      <c r="Z13" s="161"/>
      <c r="AB13" s="181"/>
      <c r="AC13" s="203"/>
      <c r="AD13" s="163"/>
    </row>
    <row r="14" spans="2:37" s="159" customFormat="1" x14ac:dyDescent="0.25">
      <c r="B14" s="510">
        <v>40813</v>
      </c>
      <c r="C14" s="215" t="s">
        <v>114</v>
      </c>
      <c r="D14" s="216" t="s">
        <v>184</v>
      </c>
      <c r="E14" s="435" t="s">
        <v>201</v>
      </c>
      <c r="F14" s="326">
        <v>100367</v>
      </c>
      <c r="G14" s="327"/>
      <c r="H14" s="424"/>
      <c r="I14" s="425"/>
      <c r="J14" s="327"/>
      <c r="K14" s="424"/>
      <c r="L14" s="424"/>
      <c r="M14" s="424"/>
      <c r="N14" s="424">
        <v>214.58</v>
      </c>
      <c r="O14" s="426"/>
      <c r="P14" s="426"/>
      <c r="Q14" s="426"/>
      <c r="R14" s="426"/>
      <c r="S14" s="427">
        <f t="shared" si="1"/>
        <v>214.58</v>
      </c>
      <c r="T14" s="511">
        <f t="shared" si="2"/>
        <v>508.70000000000005</v>
      </c>
      <c r="U14" s="428" t="s">
        <v>23</v>
      </c>
      <c r="W14" s="203"/>
      <c r="Y14" s="160"/>
      <c r="Z14" s="161"/>
      <c r="AB14" s="181"/>
      <c r="AC14" s="203"/>
      <c r="AD14" s="182"/>
    </row>
    <row r="15" spans="2:37" s="159" customFormat="1" x14ac:dyDescent="0.25">
      <c r="B15" s="510">
        <v>40813</v>
      </c>
      <c r="C15" s="225" t="s">
        <v>137</v>
      </c>
      <c r="D15" s="216" t="s">
        <v>185</v>
      </c>
      <c r="E15" s="435" t="s">
        <v>201</v>
      </c>
      <c r="F15" s="326">
        <v>100368</v>
      </c>
      <c r="G15" s="327"/>
      <c r="H15" s="424"/>
      <c r="I15" s="425"/>
      <c r="J15" s="327"/>
      <c r="K15" s="424">
        <v>100.16</v>
      </c>
      <c r="L15" s="424"/>
      <c r="M15" s="424"/>
      <c r="N15" s="424"/>
      <c r="O15" s="426"/>
      <c r="P15" s="426"/>
      <c r="Q15" s="426"/>
      <c r="R15" s="426"/>
      <c r="S15" s="427">
        <f t="shared" si="1"/>
        <v>100.16</v>
      </c>
      <c r="T15" s="511">
        <f t="shared" si="2"/>
        <v>408.54000000000008</v>
      </c>
      <c r="U15" s="428" t="s">
        <v>23</v>
      </c>
      <c r="W15" s="203"/>
      <c r="Y15" s="160"/>
      <c r="Z15" s="161"/>
      <c r="AB15" s="181"/>
      <c r="AC15" s="203"/>
      <c r="AD15" s="163"/>
    </row>
    <row r="16" spans="2:37" x14ac:dyDescent="0.25">
      <c r="B16" s="510">
        <v>40813</v>
      </c>
      <c r="C16" s="215" t="s">
        <v>163</v>
      </c>
      <c r="D16" s="216" t="s">
        <v>186</v>
      </c>
      <c r="E16" s="435" t="s">
        <v>201</v>
      </c>
      <c r="F16" s="326">
        <v>100369</v>
      </c>
      <c r="G16" s="327"/>
      <c r="H16" s="424"/>
      <c r="I16" s="425"/>
      <c r="J16" s="368"/>
      <c r="K16" s="424">
        <v>25</v>
      </c>
      <c r="L16" s="424"/>
      <c r="M16" s="437"/>
      <c r="N16" s="424"/>
      <c r="O16" s="426"/>
      <c r="P16" s="426"/>
      <c r="Q16" s="426"/>
      <c r="R16" s="426"/>
      <c r="S16" s="427">
        <f t="shared" si="1"/>
        <v>25</v>
      </c>
      <c r="T16" s="511">
        <f t="shared" si="2"/>
        <v>383.54000000000008</v>
      </c>
      <c r="U16" s="428" t="s">
        <v>23</v>
      </c>
      <c r="AB16" s="181"/>
      <c r="AC16" s="203"/>
      <c r="AD16" s="182"/>
    </row>
    <row r="17" spans="2:30" s="155" customFormat="1" x14ac:dyDescent="0.25">
      <c r="B17" s="513">
        <v>40816</v>
      </c>
      <c r="C17" s="357" t="s">
        <v>140</v>
      </c>
      <c r="D17" s="233" t="s">
        <v>187</v>
      </c>
      <c r="E17" s="438"/>
      <c r="F17" s="359"/>
      <c r="G17" s="360">
        <v>750</v>
      </c>
      <c r="H17" s="439"/>
      <c r="I17" s="440"/>
      <c r="J17" s="360"/>
      <c r="K17" s="439"/>
      <c r="L17" s="439"/>
      <c r="M17" s="441"/>
      <c r="N17" s="439"/>
      <c r="O17" s="442"/>
      <c r="P17" s="442"/>
      <c r="Q17" s="442"/>
      <c r="R17" s="442"/>
      <c r="S17" s="443">
        <f t="shared" ref="S17:S18" si="3">SUM(J17:R17)</f>
        <v>0</v>
      </c>
      <c r="T17" s="511">
        <f t="shared" ref="T17:T18" si="4">T16+SUM(G17:I17)-S17</f>
        <v>1133.54</v>
      </c>
      <c r="U17" s="428" t="s">
        <v>23</v>
      </c>
      <c r="V17" s="159"/>
      <c r="W17" s="436">
        <f>T17+S14+S16</f>
        <v>1373.12</v>
      </c>
      <c r="X17" s="159"/>
      <c r="Y17" s="160"/>
      <c r="Z17" s="161"/>
      <c r="AA17" s="159"/>
      <c r="AB17" s="181"/>
      <c r="AC17" s="203"/>
      <c r="AD17" s="182"/>
    </row>
    <row r="18" spans="2:30" s="155" customFormat="1" x14ac:dyDescent="0.25">
      <c r="B18" s="510">
        <v>40847</v>
      </c>
      <c r="C18" s="215" t="s">
        <v>146</v>
      </c>
      <c r="D18" s="227" t="s">
        <v>188</v>
      </c>
      <c r="E18" s="435" t="s">
        <v>202</v>
      </c>
      <c r="F18" s="326">
        <v>100370</v>
      </c>
      <c r="G18" s="327"/>
      <c r="H18" s="424"/>
      <c r="I18" s="425"/>
      <c r="J18" s="327"/>
      <c r="K18" s="424"/>
      <c r="L18" s="424"/>
      <c r="M18" s="437"/>
      <c r="N18" s="424"/>
      <c r="O18" s="426">
        <v>125</v>
      </c>
      <c r="P18" s="426"/>
      <c r="Q18" s="426"/>
      <c r="R18" s="426"/>
      <c r="S18" s="427">
        <f t="shared" si="3"/>
        <v>125</v>
      </c>
      <c r="T18" s="511">
        <f t="shared" si="4"/>
        <v>1008.54</v>
      </c>
      <c r="U18" s="428" t="s">
        <v>23</v>
      </c>
      <c r="V18" s="159"/>
      <c r="W18" s="371"/>
      <c r="X18" s="444"/>
      <c r="Y18" s="160"/>
      <c r="Z18" s="161"/>
      <c r="AA18" s="159"/>
      <c r="AB18" s="181"/>
      <c r="AC18" s="203"/>
      <c r="AD18" s="182"/>
    </row>
    <row r="19" spans="2:30" s="155" customFormat="1" x14ac:dyDescent="0.25">
      <c r="B19" s="510">
        <v>40847</v>
      </c>
      <c r="C19" s="215" t="s">
        <v>203</v>
      </c>
      <c r="D19" s="227" t="s">
        <v>189</v>
      </c>
      <c r="E19" s="435" t="s">
        <v>202</v>
      </c>
      <c r="F19" s="326">
        <v>100371</v>
      </c>
      <c r="G19" s="327"/>
      <c r="H19" s="424"/>
      <c r="I19" s="425"/>
      <c r="J19" s="445">
        <v>75</v>
      </c>
      <c r="K19" s="424"/>
      <c r="L19" s="424"/>
      <c r="M19" s="437"/>
      <c r="N19" s="424"/>
      <c r="O19" s="426"/>
      <c r="P19" s="426"/>
      <c r="Q19" s="426"/>
      <c r="R19" s="426"/>
      <c r="S19" s="427">
        <f t="shared" ref="S19:S23" si="5">SUM(J19:R19)</f>
        <v>75</v>
      </c>
      <c r="T19" s="511">
        <f t="shared" si="2"/>
        <v>933.54</v>
      </c>
      <c r="U19" s="428" t="s">
        <v>23</v>
      </c>
      <c r="V19" s="159"/>
      <c r="W19" s="371"/>
      <c r="X19" s="444"/>
      <c r="Y19" s="160"/>
      <c r="Z19" s="161"/>
      <c r="AA19" s="159"/>
      <c r="AB19" s="181"/>
      <c r="AC19" s="203"/>
      <c r="AD19" s="182"/>
    </row>
    <row r="20" spans="2:30" s="155" customFormat="1" x14ac:dyDescent="0.25">
      <c r="B20" s="510">
        <v>41270</v>
      </c>
      <c r="C20" s="215" t="s">
        <v>163</v>
      </c>
      <c r="D20" s="216" t="s">
        <v>191</v>
      </c>
      <c r="E20" s="435" t="s">
        <v>204</v>
      </c>
      <c r="F20" s="326">
        <v>100372</v>
      </c>
      <c r="G20" s="327"/>
      <c r="H20" s="424"/>
      <c r="I20" s="425"/>
      <c r="J20" s="327"/>
      <c r="K20" s="424">
        <v>25</v>
      </c>
      <c r="L20" s="424"/>
      <c r="M20" s="424"/>
      <c r="N20" s="424"/>
      <c r="O20" s="426"/>
      <c r="P20" s="426"/>
      <c r="Q20" s="426"/>
      <c r="R20" s="426"/>
      <c r="S20" s="427">
        <f t="shared" si="5"/>
        <v>25</v>
      </c>
      <c r="T20" s="511">
        <f t="shared" si="2"/>
        <v>908.54</v>
      </c>
      <c r="U20" s="428" t="s">
        <v>23</v>
      </c>
      <c r="V20" s="159"/>
      <c r="W20" s="371"/>
      <c r="X20" s="447"/>
      <c r="Y20" s="160"/>
      <c r="Z20" s="161"/>
      <c r="AA20" s="159"/>
      <c r="AB20" s="181"/>
      <c r="AC20" s="203"/>
      <c r="AD20" s="163"/>
    </row>
    <row r="21" spans="2:30" s="155" customFormat="1" x14ac:dyDescent="0.25">
      <c r="B21" s="510">
        <v>40904</v>
      </c>
      <c r="C21" s="215" t="s">
        <v>137</v>
      </c>
      <c r="D21" s="216" t="s">
        <v>190</v>
      </c>
      <c r="E21" s="435" t="s">
        <v>204</v>
      </c>
      <c r="F21" s="326">
        <v>100373</v>
      </c>
      <c r="G21" s="327"/>
      <c r="H21" s="424"/>
      <c r="I21" s="425"/>
      <c r="J21" s="368"/>
      <c r="K21" s="424">
        <v>100.16</v>
      </c>
      <c r="L21" s="424"/>
      <c r="M21" s="424"/>
      <c r="N21" s="424"/>
      <c r="O21" s="426"/>
      <c r="P21" s="426"/>
      <c r="Q21" s="426"/>
      <c r="R21" s="426"/>
      <c r="S21" s="427">
        <f t="shared" si="5"/>
        <v>100.16</v>
      </c>
      <c r="T21" s="514">
        <f t="shared" ref="T21:T23" si="6">T20-SUM(J21:R21)+SUM(G21:I21)</f>
        <v>808.38</v>
      </c>
      <c r="U21" s="428" t="s">
        <v>23</v>
      </c>
      <c r="V21" s="159"/>
      <c r="W21" s="371" t="s">
        <v>205</v>
      </c>
      <c r="X21" s="447"/>
      <c r="Y21" s="160"/>
      <c r="Z21" s="161"/>
      <c r="AA21" s="159"/>
      <c r="AB21" s="181"/>
      <c r="AC21" s="203"/>
      <c r="AD21" s="163"/>
    </row>
    <row r="22" spans="2:30" s="155" customFormat="1" x14ac:dyDescent="0.25">
      <c r="B22" s="510">
        <v>40933</v>
      </c>
      <c r="C22" s="215" t="s">
        <v>163</v>
      </c>
      <c r="D22" s="216" t="s">
        <v>206</v>
      </c>
      <c r="E22" s="435"/>
      <c r="F22" s="326"/>
      <c r="G22" s="327"/>
      <c r="H22" s="424"/>
      <c r="I22" s="425">
        <v>53.79</v>
      </c>
      <c r="J22" s="327"/>
      <c r="K22" s="424"/>
      <c r="L22" s="424"/>
      <c r="M22" s="424"/>
      <c r="N22" s="424"/>
      <c r="O22" s="426"/>
      <c r="P22" s="426"/>
      <c r="Q22" s="426"/>
      <c r="R22" s="426"/>
      <c r="S22" s="427">
        <f t="shared" si="5"/>
        <v>0</v>
      </c>
      <c r="T22" s="514">
        <f t="shared" si="6"/>
        <v>862.17</v>
      </c>
      <c r="U22" s="428" t="s">
        <v>23</v>
      </c>
      <c r="V22" s="159"/>
      <c r="W22" s="371"/>
      <c r="X22" s="447"/>
      <c r="Y22" s="160"/>
      <c r="Z22" s="161"/>
      <c r="AA22" s="159"/>
      <c r="AB22" s="181"/>
      <c r="AC22" s="203"/>
      <c r="AD22" s="163"/>
    </row>
    <row r="23" spans="2:30" s="155" customFormat="1" x14ac:dyDescent="0.25">
      <c r="B23" s="510">
        <v>40973</v>
      </c>
      <c r="C23" s="215" t="s">
        <v>137</v>
      </c>
      <c r="D23" s="216" t="s">
        <v>192</v>
      </c>
      <c r="E23" s="435" t="s">
        <v>207</v>
      </c>
      <c r="F23" s="326">
        <v>100374</v>
      </c>
      <c r="G23" s="327"/>
      <c r="H23" s="424"/>
      <c r="I23" s="425"/>
      <c r="J23" s="368"/>
      <c r="K23" s="424">
        <v>100.16</v>
      </c>
      <c r="L23" s="424"/>
      <c r="M23" s="424"/>
      <c r="N23" s="424"/>
      <c r="O23" s="426"/>
      <c r="P23" s="426"/>
      <c r="Q23" s="426"/>
      <c r="R23" s="426"/>
      <c r="S23" s="427">
        <f t="shared" si="5"/>
        <v>100.16</v>
      </c>
      <c r="T23" s="514">
        <f t="shared" si="6"/>
        <v>762.01</v>
      </c>
      <c r="U23" s="428" t="s">
        <v>23</v>
      </c>
      <c r="V23" s="159"/>
      <c r="W23" s="371"/>
      <c r="X23" s="444"/>
      <c r="Y23" s="160"/>
      <c r="Z23" s="161"/>
      <c r="AA23" s="159"/>
      <c r="AB23" s="181"/>
      <c r="AC23" s="203"/>
      <c r="AD23" s="163"/>
    </row>
    <row r="24" spans="2:30" s="155" customFormat="1" x14ac:dyDescent="0.25">
      <c r="B24" s="510">
        <v>40973</v>
      </c>
      <c r="C24" s="215" t="s">
        <v>163</v>
      </c>
      <c r="D24" s="216" t="s">
        <v>193</v>
      </c>
      <c r="E24" s="435" t="s">
        <v>207</v>
      </c>
      <c r="F24" s="326">
        <v>100375</v>
      </c>
      <c r="G24" s="327"/>
      <c r="H24" s="424"/>
      <c r="I24" s="425"/>
      <c r="J24" s="445"/>
      <c r="K24" s="424">
        <v>25</v>
      </c>
      <c r="L24" s="424"/>
      <c r="M24" s="424"/>
      <c r="N24" s="424"/>
      <c r="O24" s="426"/>
      <c r="P24" s="426"/>
      <c r="Q24" s="426"/>
      <c r="R24" s="426"/>
      <c r="S24" s="427">
        <f t="shared" ref="S24:S27" si="7">SUM(J24:R24)</f>
        <v>25</v>
      </c>
      <c r="T24" s="514">
        <f t="shared" ref="T24" si="8">T23-SUM(J24:R24)+SUM(G24:I24)</f>
        <v>737.01</v>
      </c>
      <c r="U24" s="428" t="s">
        <v>23</v>
      </c>
      <c r="V24" s="159"/>
      <c r="W24" s="515">
        <f>(T24)/G4</f>
        <v>0.49134</v>
      </c>
      <c r="X24" s="444"/>
      <c r="Y24" s="160"/>
      <c r="Z24" s="161"/>
      <c r="AA24" s="159"/>
      <c r="AB24" s="181"/>
      <c r="AC24" s="203"/>
      <c r="AD24" s="244"/>
    </row>
    <row r="25" spans="2:30" s="155" customFormat="1" x14ac:dyDescent="0.25">
      <c r="B25" s="510">
        <v>40973</v>
      </c>
      <c r="C25" s="215" t="s">
        <v>137</v>
      </c>
      <c r="D25" s="227" t="s">
        <v>208</v>
      </c>
      <c r="E25" s="435" t="s">
        <v>207</v>
      </c>
      <c r="F25" s="326">
        <v>100376</v>
      </c>
      <c r="G25" s="327"/>
      <c r="H25" s="424"/>
      <c r="I25" s="425"/>
      <c r="J25" s="445"/>
      <c r="K25" s="424"/>
      <c r="L25" s="424">
        <v>281.87</v>
      </c>
      <c r="M25" s="424"/>
      <c r="N25" s="424"/>
      <c r="O25" s="426"/>
      <c r="P25" s="426"/>
      <c r="Q25" s="426"/>
      <c r="R25" s="426">
        <v>5.53</v>
      </c>
      <c r="S25" s="427">
        <f t="shared" si="7"/>
        <v>287.39999999999998</v>
      </c>
      <c r="T25" s="514">
        <f t="shared" ref="T25:T27" si="9">T24-SUM(J25:R25)+SUM(G25:I25)</f>
        <v>449.61</v>
      </c>
      <c r="U25" s="428" t="s">
        <v>23</v>
      </c>
      <c r="V25" s="159"/>
      <c r="W25" s="515">
        <f>(T25)/G4</f>
        <v>0.29974000000000001</v>
      </c>
      <c r="X25" s="159"/>
      <c r="Y25" s="160"/>
      <c r="Z25" s="161"/>
      <c r="AA25" s="159"/>
      <c r="AB25" s="181"/>
      <c r="AC25" s="203"/>
      <c r="AD25" s="244"/>
    </row>
    <row r="26" spans="2:30" s="155" customFormat="1" x14ac:dyDescent="0.25">
      <c r="B26" s="510">
        <v>40973</v>
      </c>
      <c r="C26" s="215" t="s">
        <v>112</v>
      </c>
      <c r="D26" s="227" t="s">
        <v>209</v>
      </c>
      <c r="E26" s="435" t="s">
        <v>207</v>
      </c>
      <c r="F26" s="326">
        <v>100377</v>
      </c>
      <c r="G26" s="327"/>
      <c r="H26" s="424"/>
      <c r="I26" s="425"/>
      <c r="J26" s="445"/>
      <c r="K26" s="424"/>
      <c r="L26" s="424"/>
      <c r="M26" s="424"/>
      <c r="N26" s="424">
        <v>25</v>
      </c>
      <c r="O26" s="426"/>
      <c r="P26" s="426"/>
      <c r="Q26" s="426"/>
      <c r="R26" s="426"/>
      <c r="S26" s="427">
        <f t="shared" si="7"/>
        <v>25</v>
      </c>
      <c r="T26" s="514">
        <f t="shared" si="9"/>
        <v>424.61</v>
      </c>
      <c r="U26" s="428" t="s">
        <v>23</v>
      </c>
      <c r="V26" s="159"/>
      <c r="W26" s="515">
        <f>(T26)/G$4</f>
        <v>0.28307333333333334</v>
      </c>
      <c r="X26" s="159"/>
      <c r="Y26" s="160"/>
      <c r="Z26" s="161"/>
      <c r="AA26" s="159"/>
      <c r="AB26" s="181"/>
      <c r="AC26" s="203"/>
      <c r="AD26" s="163"/>
    </row>
    <row r="27" spans="2:30" s="155" customFormat="1" x14ac:dyDescent="0.25">
      <c r="B27" s="510">
        <v>40999</v>
      </c>
      <c r="C27" s="215" t="s">
        <v>194</v>
      </c>
      <c r="D27" s="227" t="s">
        <v>210</v>
      </c>
      <c r="E27" s="516" t="s">
        <v>211</v>
      </c>
      <c r="F27" s="354">
        <v>100378</v>
      </c>
      <c r="G27" s="327"/>
      <c r="H27" s="424"/>
      <c r="I27" s="425"/>
      <c r="J27" s="445"/>
      <c r="K27" s="424"/>
      <c r="L27" s="424"/>
      <c r="M27" s="424">
        <v>25</v>
      </c>
      <c r="N27" s="424"/>
      <c r="O27" s="426"/>
      <c r="P27" s="426"/>
      <c r="Q27" s="426"/>
      <c r="R27" s="426"/>
      <c r="S27" s="427">
        <f t="shared" si="7"/>
        <v>25</v>
      </c>
      <c r="T27" s="514">
        <f t="shared" si="9"/>
        <v>399.61</v>
      </c>
      <c r="U27" s="428"/>
      <c r="V27" s="159"/>
      <c r="W27" s="515">
        <f>ROUND((T27)/G$4,3)</f>
        <v>0.26600000000000001</v>
      </c>
      <c r="X27" s="517"/>
      <c r="Y27" s="160"/>
      <c r="Z27" s="161"/>
      <c r="AA27" s="159"/>
      <c r="AB27" s="181"/>
      <c r="AC27" s="203"/>
      <c r="AD27" s="163"/>
    </row>
    <row r="28" spans="2:30" s="155" customFormat="1" x14ac:dyDescent="0.25">
      <c r="B28" s="510"/>
      <c r="C28" s="215"/>
      <c r="D28" s="446"/>
      <c r="E28" s="374"/>
      <c r="F28" s="354"/>
      <c r="G28" s="327"/>
      <c r="H28" s="424"/>
      <c r="I28" s="425"/>
      <c r="J28" s="445"/>
      <c r="K28" s="424"/>
      <c r="L28" s="424"/>
      <c r="M28" s="424"/>
      <c r="N28" s="424"/>
      <c r="O28" s="426"/>
      <c r="P28" s="426"/>
      <c r="Q28" s="426"/>
      <c r="R28" s="426"/>
      <c r="S28" s="449"/>
      <c r="T28" s="518"/>
      <c r="U28" s="428"/>
      <c r="V28" s="159"/>
      <c r="W28" s="203"/>
      <c r="X28" s="159"/>
      <c r="Y28" s="160"/>
      <c r="Z28" s="161"/>
      <c r="AA28" s="159"/>
      <c r="AB28" s="181"/>
      <c r="AC28" s="203"/>
      <c r="AD28" s="163"/>
    </row>
    <row r="29" spans="2:30" s="155" customFormat="1" x14ac:dyDescent="0.25">
      <c r="B29" s="510"/>
      <c r="C29" s="215"/>
      <c r="D29" s="227"/>
      <c r="E29" s="374"/>
      <c r="F29" s="354"/>
      <c r="G29" s="327"/>
      <c r="H29" s="424"/>
      <c r="I29" s="425"/>
      <c r="J29" s="445"/>
      <c r="K29" s="424"/>
      <c r="L29" s="424"/>
      <c r="M29" s="424"/>
      <c r="N29" s="424"/>
      <c r="O29" s="426"/>
      <c r="P29" s="426"/>
      <c r="Q29" s="426"/>
      <c r="R29" s="426"/>
      <c r="S29" s="449"/>
      <c r="T29" s="518"/>
      <c r="U29" s="428"/>
      <c r="V29" s="159"/>
      <c r="W29" s="203"/>
      <c r="X29" s="159"/>
      <c r="Y29" s="160"/>
      <c r="Z29" s="161"/>
      <c r="AA29" s="159"/>
      <c r="AB29" s="181"/>
      <c r="AC29" s="203"/>
      <c r="AD29" s="163"/>
    </row>
    <row r="30" spans="2:30" s="155" customFormat="1" x14ac:dyDescent="0.25">
      <c r="B30" s="510"/>
      <c r="C30" s="215"/>
      <c r="D30" s="227"/>
      <c r="E30" s="374"/>
      <c r="F30" s="354"/>
      <c r="G30" s="327"/>
      <c r="H30" s="424"/>
      <c r="I30" s="425"/>
      <c r="J30" s="445"/>
      <c r="K30" s="424"/>
      <c r="L30" s="424"/>
      <c r="M30" s="424"/>
      <c r="N30" s="424"/>
      <c r="O30" s="426"/>
      <c r="P30" s="426"/>
      <c r="Q30" s="426"/>
      <c r="R30" s="426"/>
      <c r="S30" s="449"/>
      <c r="T30" s="518"/>
      <c r="U30" s="428"/>
      <c r="V30" s="159"/>
      <c r="W30" s="203"/>
      <c r="X30" s="159"/>
      <c r="Y30" s="160"/>
      <c r="Z30" s="161"/>
      <c r="AA30" s="159"/>
      <c r="AB30" s="181"/>
      <c r="AC30" s="203"/>
      <c r="AD30" s="163"/>
    </row>
    <row r="31" spans="2:30" s="155" customFormat="1" x14ac:dyDescent="0.25">
      <c r="B31" s="510"/>
      <c r="C31" s="215"/>
      <c r="D31" s="227"/>
      <c r="E31" s="374"/>
      <c r="F31" s="354"/>
      <c r="G31" s="327"/>
      <c r="H31" s="424"/>
      <c r="I31" s="425"/>
      <c r="J31" s="445"/>
      <c r="K31" s="424"/>
      <c r="L31" s="424"/>
      <c r="M31" s="424"/>
      <c r="N31" s="424"/>
      <c r="O31" s="426"/>
      <c r="P31" s="426"/>
      <c r="Q31" s="426"/>
      <c r="R31" s="426"/>
      <c r="S31" s="449"/>
      <c r="T31" s="518"/>
      <c r="U31" s="428"/>
      <c r="V31" s="159"/>
      <c r="W31" s="203"/>
      <c r="X31" s="159"/>
      <c r="Y31" s="160"/>
      <c r="Z31" s="161"/>
      <c r="AA31" s="159"/>
      <c r="AB31" s="245"/>
      <c r="AC31" s="246"/>
      <c r="AD31" s="247"/>
    </row>
    <row r="32" spans="2:30" s="155" customFormat="1" ht="20" thickBot="1" x14ac:dyDescent="0.3">
      <c r="B32" s="519"/>
      <c r="C32" s="215"/>
      <c r="D32" s="227"/>
      <c r="E32" s="383"/>
      <c r="F32" s="384"/>
      <c r="G32" s="450"/>
      <c r="H32" s="451"/>
      <c r="I32" s="452"/>
      <c r="J32" s="453"/>
      <c r="K32" s="451"/>
      <c r="L32" s="451"/>
      <c r="M32" s="451"/>
      <c r="N32" s="451"/>
      <c r="O32" s="454"/>
      <c r="P32" s="454"/>
      <c r="Q32" s="454"/>
      <c r="R32" s="454"/>
      <c r="S32" s="455"/>
      <c r="T32" s="520"/>
      <c r="U32" s="456"/>
      <c r="V32" s="159"/>
      <c r="W32" s="203"/>
      <c r="X32" s="159"/>
      <c r="Y32" s="160"/>
      <c r="Z32" s="161"/>
      <c r="AA32" s="159"/>
      <c r="AB32" s="245"/>
      <c r="AC32" s="246"/>
      <c r="AD32" s="247"/>
    </row>
    <row r="33" spans="2:37" ht="21" thickTop="1" thickBot="1" x14ac:dyDescent="0.3">
      <c r="B33" s="521"/>
      <c r="C33" s="522"/>
      <c r="D33" s="523" t="s">
        <v>122</v>
      </c>
      <c r="E33" s="524"/>
      <c r="F33" s="525"/>
      <c r="G33" s="526">
        <f>SUM(G6:G32)</f>
        <v>1500</v>
      </c>
      <c r="H33" s="526">
        <f>SUM(H6:H32)</f>
        <v>0</v>
      </c>
      <c r="I33" s="527">
        <f>SUM(I6:I32)</f>
        <v>53.79</v>
      </c>
      <c r="J33" s="528">
        <f>SUM(J6:J32)</f>
        <v>75</v>
      </c>
      <c r="K33" s="529">
        <f t="shared" ref="K33:R33" si="10">SUM(K6:K32)</f>
        <v>500.64</v>
      </c>
      <c r="L33" s="529">
        <f t="shared" si="10"/>
        <v>281.87</v>
      </c>
      <c r="M33" s="529">
        <f t="shared" si="10"/>
        <v>212.5</v>
      </c>
      <c r="N33" s="529">
        <f t="shared" si="10"/>
        <v>350.58000000000004</v>
      </c>
      <c r="O33" s="529">
        <f t="shared" si="10"/>
        <v>125</v>
      </c>
      <c r="P33" s="529">
        <f t="shared" si="10"/>
        <v>0</v>
      </c>
      <c r="Q33" s="529">
        <f t="shared" si="10"/>
        <v>0</v>
      </c>
      <c r="R33" s="530">
        <f t="shared" si="10"/>
        <v>18.53</v>
      </c>
      <c r="S33" s="531">
        <f>SUM(S6:S32)</f>
        <v>1564.12</v>
      </c>
      <c r="T33" s="532">
        <f>T4+SUM(G33:I33)-S33</f>
        <v>399.61000000000013</v>
      </c>
      <c r="U33" s="457"/>
      <c r="AC33" s="203"/>
    </row>
    <row r="34" spans="2:37" ht="20" thickTop="1" x14ac:dyDescent="0.25"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AC34" s="203"/>
    </row>
    <row r="35" spans="2:37" s="459" customFormat="1" ht="18" hidden="1" x14ac:dyDescent="0.25">
      <c r="D35" s="458" t="s">
        <v>195</v>
      </c>
      <c r="E35" s="458" t="s">
        <v>196</v>
      </c>
      <c r="G35" s="460"/>
      <c r="H35" s="460"/>
      <c r="I35" s="460"/>
      <c r="J35" s="461">
        <f>6.15*138</f>
        <v>848.7</v>
      </c>
      <c r="K35" s="460"/>
      <c r="L35" s="460"/>
      <c r="M35" s="460"/>
      <c r="N35" s="460"/>
      <c r="O35" s="460"/>
      <c r="P35" s="460"/>
      <c r="Q35" s="460"/>
      <c r="R35" s="460"/>
      <c r="S35" s="460"/>
      <c r="T35" s="533">
        <f>S33-K33</f>
        <v>1063.48</v>
      </c>
      <c r="U35" s="462"/>
      <c r="V35" s="163"/>
      <c r="W35" s="203"/>
      <c r="X35" s="163"/>
      <c r="Y35" s="160"/>
      <c r="Z35" s="161"/>
      <c r="AA35" s="163"/>
      <c r="AB35" s="463"/>
      <c r="AC35" s="203"/>
      <c r="AD35" s="163"/>
      <c r="AE35" s="163"/>
      <c r="AF35" s="163"/>
      <c r="AG35" s="163"/>
      <c r="AH35" s="163"/>
      <c r="AI35" s="163"/>
      <c r="AJ35" s="163"/>
      <c r="AK35" s="163"/>
    </row>
    <row r="36" spans="2:37" hidden="1" x14ac:dyDescent="0.25"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</row>
    <row r="37" spans="2:37" s="459" customFormat="1" ht="18" hidden="1" x14ac:dyDescent="0.25">
      <c r="C37" s="458" t="s">
        <v>212</v>
      </c>
      <c r="D37" s="458"/>
      <c r="E37" s="458"/>
      <c r="G37" s="460"/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534"/>
      <c r="T37" s="534">
        <f>T4</f>
        <v>409.94</v>
      </c>
      <c r="U37" s="462"/>
      <c r="V37" s="163"/>
      <c r="W37" s="203"/>
      <c r="X37" s="163"/>
      <c r="Y37" s="160"/>
      <c r="Z37" s="161"/>
      <c r="AA37" s="163"/>
      <c r="AB37" s="463"/>
      <c r="AC37" s="163"/>
      <c r="AD37" s="163"/>
      <c r="AE37" s="163"/>
      <c r="AF37" s="163"/>
      <c r="AG37" s="163"/>
      <c r="AH37" s="163"/>
      <c r="AI37" s="163"/>
      <c r="AJ37" s="163"/>
      <c r="AK37" s="163"/>
    </row>
    <row r="38" spans="2:37" hidden="1" x14ac:dyDescent="0.25"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535"/>
      <c r="T38" s="535"/>
    </row>
    <row r="39" spans="2:37" s="459" customFormat="1" ht="18" hidden="1" x14ac:dyDescent="0.25">
      <c r="C39" s="458" t="s">
        <v>200</v>
      </c>
      <c r="D39" s="458" t="s">
        <v>47</v>
      </c>
      <c r="E39" s="458"/>
      <c r="G39" s="460">
        <f>G33</f>
        <v>1500</v>
      </c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534">
        <f>SUM(G39:R39)</f>
        <v>1500</v>
      </c>
      <c r="T39" s="534"/>
      <c r="U39" s="462"/>
      <c r="V39" s="163"/>
      <c r="W39" s="203"/>
      <c r="X39" s="163"/>
      <c r="Y39" s="160"/>
      <c r="Z39" s="161"/>
      <c r="AA39" s="163"/>
      <c r="AB39" s="463"/>
      <c r="AC39" s="163"/>
      <c r="AD39" s="163"/>
      <c r="AE39" s="163"/>
      <c r="AF39" s="163"/>
      <c r="AG39" s="163"/>
      <c r="AH39" s="163"/>
      <c r="AI39" s="163"/>
      <c r="AJ39" s="163"/>
      <c r="AK39" s="163"/>
    </row>
    <row r="40" spans="2:37" s="459" customFormat="1" ht="18" hidden="1" x14ac:dyDescent="0.25">
      <c r="C40" s="458"/>
      <c r="D40" s="458" t="s">
        <v>213</v>
      </c>
      <c r="E40" s="458"/>
      <c r="G40" s="460"/>
      <c r="H40" s="460"/>
      <c r="I40" s="460">
        <f>I33</f>
        <v>53.79</v>
      </c>
      <c r="J40" s="460"/>
      <c r="K40" s="460"/>
      <c r="L40" s="460"/>
      <c r="M40" s="460"/>
      <c r="N40" s="460"/>
      <c r="O40" s="460"/>
      <c r="P40" s="460"/>
      <c r="Q40" s="460"/>
      <c r="R40" s="460"/>
      <c r="S40" s="534">
        <f t="shared" ref="S40:S43" si="11">SUM(G40:R40)</f>
        <v>53.79</v>
      </c>
      <c r="T40" s="534"/>
      <c r="U40" s="462"/>
      <c r="V40" s="163"/>
      <c r="W40" s="203"/>
      <c r="X40" s="163"/>
      <c r="Y40" s="160"/>
      <c r="Z40" s="161"/>
      <c r="AA40" s="163"/>
      <c r="AB40" s="463"/>
      <c r="AC40" s="163"/>
      <c r="AD40" s="163"/>
      <c r="AE40" s="163"/>
      <c r="AF40" s="163"/>
      <c r="AG40" s="163"/>
      <c r="AH40" s="163"/>
      <c r="AI40" s="163"/>
      <c r="AJ40" s="163"/>
      <c r="AK40" s="163"/>
    </row>
    <row r="41" spans="2:37" s="459" customFormat="1" ht="18" hidden="1" x14ac:dyDescent="0.25">
      <c r="C41" s="458"/>
      <c r="D41" s="458"/>
      <c r="E41" s="458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534"/>
      <c r="T41" s="534"/>
      <c r="U41" s="462"/>
      <c r="V41" s="163"/>
      <c r="W41" s="203"/>
      <c r="X41" s="163"/>
      <c r="Y41" s="160"/>
      <c r="Z41" s="161"/>
      <c r="AA41" s="163"/>
      <c r="AB41" s="463"/>
      <c r="AC41" s="163"/>
      <c r="AD41" s="163"/>
      <c r="AE41" s="163"/>
      <c r="AF41" s="163"/>
      <c r="AG41" s="163"/>
      <c r="AH41" s="163"/>
      <c r="AI41" s="163"/>
      <c r="AJ41" s="163"/>
      <c r="AK41" s="163"/>
    </row>
    <row r="42" spans="2:37" s="459" customFormat="1" ht="18" hidden="1" x14ac:dyDescent="0.25">
      <c r="C42" s="458" t="s">
        <v>214</v>
      </c>
      <c r="D42" s="458" t="s">
        <v>215</v>
      </c>
      <c r="E42" s="458"/>
      <c r="G42" s="460"/>
      <c r="H42" s="460"/>
      <c r="I42" s="460"/>
      <c r="J42" s="460"/>
      <c r="K42" s="460">
        <f>K33</f>
        <v>500.64</v>
      </c>
      <c r="L42" s="460"/>
      <c r="M42" s="460"/>
      <c r="N42" s="460"/>
      <c r="O42" s="460"/>
      <c r="P42" s="460"/>
      <c r="Q42" s="460"/>
      <c r="R42" s="460"/>
      <c r="S42" s="534">
        <f t="shared" si="11"/>
        <v>500.64</v>
      </c>
      <c r="T42" s="534"/>
      <c r="U42" s="462"/>
      <c r="V42" s="163"/>
      <c r="W42" s="203"/>
      <c r="X42" s="163"/>
      <c r="Y42" s="160"/>
      <c r="Z42" s="161"/>
      <c r="AA42" s="163"/>
      <c r="AB42" s="463"/>
      <c r="AC42" s="163"/>
      <c r="AD42" s="163"/>
      <c r="AE42" s="163"/>
      <c r="AF42" s="163"/>
      <c r="AG42" s="163"/>
      <c r="AH42" s="163"/>
      <c r="AI42" s="163"/>
      <c r="AJ42" s="163"/>
      <c r="AK42" s="163"/>
    </row>
    <row r="43" spans="2:37" s="459" customFormat="1" ht="18" hidden="1" x14ac:dyDescent="0.25">
      <c r="D43" s="458" t="s">
        <v>216</v>
      </c>
      <c r="E43" s="458"/>
      <c r="G43" s="460"/>
      <c r="H43" s="460"/>
      <c r="I43" s="460"/>
      <c r="J43" s="460">
        <f>J33</f>
        <v>75</v>
      </c>
      <c r="K43" s="460"/>
      <c r="L43" s="460">
        <f>L33</f>
        <v>281.87</v>
      </c>
      <c r="M43" s="460">
        <f>M33</f>
        <v>212.5</v>
      </c>
      <c r="N43" s="460">
        <f t="shared" ref="N43:R43" si="12">N33</f>
        <v>350.58000000000004</v>
      </c>
      <c r="O43" s="460">
        <f t="shared" si="12"/>
        <v>125</v>
      </c>
      <c r="P43" s="460">
        <f t="shared" si="12"/>
        <v>0</v>
      </c>
      <c r="Q43" s="460">
        <f t="shared" si="12"/>
        <v>0</v>
      </c>
      <c r="R43" s="460">
        <f t="shared" si="12"/>
        <v>18.53</v>
      </c>
      <c r="S43" s="534">
        <f t="shared" si="11"/>
        <v>1063.48</v>
      </c>
      <c r="T43" s="534"/>
      <c r="U43" s="462"/>
      <c r="V43" s="163"/>
      <c r="W43" s="203"/>
      <c r="X43" s="163"/>
      <c r="Y43" s="160"/>
      <c r="Z43" s="161"/>
      <c r="AA43" s="163"/>
      <c r="AB43" s="463"/>
      <c r="AC43" s="163"/>
      <c r="AD43" s="163"/>
      <c r="AE43" s="163"/>
      <c r="AF43" s="163"/>
      <c r="AG43" s="163"/>
      <c r="AH43" s="163"/>
      <c r="AI43" s="163"/>
      <c r="AJ43" s="163"/>
      <c r="AK43" s="163"/>
    </row>
    <row r="44" spans="2:37" s="459" customFormat="1" ht="18" hidden="1" x14ac:dyDescent="0.25">
      <c r="D44" s="458"/>
      <c r="E44" s="458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534"/>
      <c r="T44" s="534">
        <f>T37+S39+S40-S42-S43</f>
        <v>399.61000000000013</v>
      </c>
      <c r="U44" s="462"/>
      <c r="V44" s="163"/>
      <c r="W44" s="203"/>
      <c r="X44" s="163"/>
      <c r="Y44" s="160"/>
      <c r="Z44" s="161"/>
      <c r="AA44" s="163"/>
      <c r="AB44" s="463"/>
      <c r="AC44" s="163"/>
      <c r="AD44" s="163"/>
      <c r="AE44" s="163"/>
      <c r="AF44" s="163"/>
      <c r="AG44" s="163"/>
      <c r="AH44" s="163"/>
      <c r="AI44" s="163"/>
      <c r="AJ44" s="163"/>
      <c r="AK44" s="163"/>
    </row>
    <row r="45" spans="2:37" s="459" customFormat="1" ht="18" x14ac:dyDescent="0.25">
      <c r="B45" s="458" t="s">
        <v>217</v>
      </c>
      <c r="D45" s="458"/>
      <c r="E45" s="458"/>
      <c r="G45" s="537">
        <f>SUM(G60:G63)</f>
        <v>1500</v>
      </c>
      <c r="H45" s="537">
        <f t="shared" ref="H45:I45" si="13">SUM(H60:H63)</f>
        <v>0</v>
      </c>
      <c r="I45" s="537">
        <f t="shared" si="13"/>
        <v>53.79</v>
      </c>
      <c r="J45" s="536">
        <f>SUM(J46:J58)</f>
        <v>75</v>
      </c>
      <c r="K45" s="536">
        <f t="shared" ref="K45:R45" si="14">SUM(K46:K58)</f>
        <v>500.64</v>
      </c>
      <c r="L45" s="536">
        <f t="shared" si="14"/>
        <v>281.87</v>
      </c>
      <c r="M45" s="536">
        <f t="shared" si="14"/>
        <v>212.5</v>
      </c>
      <c r="N45" s="536">
        <f t="shared" si="14"/>
        <v>350.58000000000004</v>
      </c>
      <c r="O45" s="536">
        <f t="shared" si="14"/>
        <v>125</v>
      </c>
      <c r="P45" s="536">
        <f t="shared" si="14"/>
        <v>0</v>
      </c>
      <c r="Q45" s="536">
        <f t="shared" si="14"/>
        <v>0</v>
      </c>
      <c r="R45" s="536">
        <f t="shared" si="14"/>
        <v>18.53</v>
      </c>
      <c r="S45" s="460"/>
      <c r="T45" s="460"/>
      <c r="U45" s="462"/>
      <c r="V45" s="163"/>
      <c r="W45" s="203"/>
      <c r="X45" s="163"/>
      <c r="Y45" s="160"/>
      <c r="Z45" s="161"/>
      <c r="AA45" s="163"/>
      <c r="AB45" s="463"/>
      <c r="AC45" s="163"/>
      <c r="AD45" s="163"/>
      <c r="AE45" s="163"/>
      <c r="AF45" s="163"/>
      <c r="AG45" s="163"/>
      <c r="AH45" s="163"/>
      <c r="AI45" s="163"/>
      <c r="AJ45" s="163"/>
      <c r="AK45" s="163"/>
    </row>
    <row r="46" spans="2:37" s="459" customFormat="1" ht="18" x14ac:dyDescent="0.25">
      <c r="C46" s="458" t="s">
        <v>65</v>
      </c>
      <c r="D46" s="458" t="s">
        <v>21</v>
      </c>
      <c r="E46" s="458"/>
      <c r="F46" s="536">
        <f>SUM(G46:R46)</f>
        <v>214.58</v>
      </c>
      <c r="G46" s="460"/>
      <c r="H46" s="460"/>
      <c r="I46" s="460"/>
      <c r="J46" s="460"/>
      <c r="K46" s="460"/>
      <c r="L46" s="460"/>
      <c r="M46" s="460"/>
      <c r="N46" s="460">
        <f>N14</f>
        <v>214.58</v>
      </c>
      <c r="O46" s="460"/>
      <c r="P46" s="460"/>
      <c r="Q46" s="460"/>
      <c r="R46" s="460"/>
      <c r="S46" s="460"/>
      <c r="T46" s="460"/>
      <c r="U46" s="462"/>
      <c r="V46" s="163"/>
      <c r="W46" s="203"/>
      <c r="X46" s="163"/>
      <c r="Y46" s="160"/>
      <c r="Z46" s="161"/>
      <c r="AA46" s="163"/>
      <c r="AB46" s="463"/>
      <c r="AC46" s="163"/>
      <c r="AD46" s="163"/>
      <c r="AE46" s="163"/>
      <c r="AF46" s="163"/>
      <c r="AG46" s="163"/>
      <c r="AH46" s="163"/>
      <c r="AI46" s="163"/>
      <c r="AJ46" s="163"/>
      <c r="AK46" s="163"/>
    </row>
    <row r="47" spans="2:37" s="459" customFormat="1" ht="18" x14ac:dyDescent="0.25">
      <c r="D47" s="458" t="s">
        <v>22</v>
      </c>
      <c r="E47" s="458"/>
      <c r="F47" s="536">
        <f t="shared" ref="F47:F63" si="15">SUM(G47:R47)</f>
        <v>95</v>
      </c>
      <c r="G47" s="460"/>
      <c r="H47" s="460"/>
      <c r="I47" s="460"/>
      <c r="J47" s="460"/>
      <c r="K47" s="460"/>
      <c r="L47" s="460"/>
      <c r="M47" s="460">
        <f>M13+M9</f>
        <v>85</v>
      </c>
      <c r="N47" s="460"/>
      <c r="O47" s="460"/>
      <c r="P47" s="460"/>
      <c r="Q47" s="460"/>
      <c r="R47" s="460">
        <f>R13</f>
        <v>10</v>
      </c>
      <c r="S47" s="460"/>
      <c r="T47" s="460"/>
      <c r="U47" s="462"/>
      <c r="V47" s="163"/>
      <c r="W47" s="203"/>
      <c r="X47" s="163"/>
      <c r="Y47" s="160"/>
      <c r="Z47" s="161"/>
      <c r="AA47" s="163"/>
      <c r="AB47" s="463"/>
      <c r="AC47" s="163"/>
      <c r="AD47" s="163"/>
      <c r="AE47" s="163"/>
      <c r="AF47" s="163"/>
      <c r="AG47" s="163"/>
      <c r="AH47" s="163"/>
      <c r="AI47" s="163"/>
      <c r="AJ47" s="163"/>
      <c r="AK47" s="163"/>
    </row>
    <row r="48" spans="2:37" s="459" customFormat="1" ht="18" x14ac:dyDescent="0.25">
      <c r="D48" s="458" t="s">
        <v>218</v>
      </c>
      <c r="E48" s="458"/>
      <c r="F48" s="536">
        <f t="shared" si="15"/>
        <v>75</v>
      </c>
      <c r="G48" s="460"/>
      <c r="H48" s="460"/>
      <c r="I48" s="460"/>
      <c r="J48" s="460">
        <f>J19</f>
        <v>75</v>
      </c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2"/>
      <c r="V48" s="163"/>
      <c r="W48" s="203"/>
      <c r="X48" s="163"/>
      <c r="Y48" s="160"/>
      <c r="Z48" s="161"/>
      <c r="AA48" s="163"/>
      <c r="AB48" s="463"/>
      <c r="AC48" s="163"/>
      <c r="AD48" s="163"/>
      <c r="AE48" s="163"/>
      <c r="AF48" s="163"/>
      <c r="AG48" s="163"/>
      <c r="AH48" s="163"/>
      <c r="AI48" s="163"/>
      <c r="AJ48" s="163"/>
      <c r="AK48" s="163"/>
    </row>
    <row r="49" spans="3:37" s="459" customFormat="1" ht="18" x14ac:dyDescent="0.25">
      <c r="D49" s="458" t="s">
        <v>24</v>
      </c>
      <c r="E49" s="458"/>
      <c r="F49" s="536">
        <f t="shared" si="15"/>
        <v>125</v>
      </c>
      <c r="G49" s="460"/>
      <c r="H49" s="460"/>
      <c r="I49" s="460"/>
      <c r="J49" s="460"/>
      <c r="K49" s="460"/>
      <c r="L49" s="460"/>
      <c r="M49" s="460"/>
      <c r="N49" s="460"/>
      <c r="O49" s="460">
        <f>O18</f>
        <v>125</v>
      </c>
      <c r="P49" s="460"/>
      <c r="Q49" s="460"/>
      <c r="R49" s="460"/>
      <c r="S49" s="460"/>
      <c r="T49" s="460"/>
      <c r="U49" s="462"/>
      <c r="V49" s="163"/>
      <c r="W49" s="203"/>
      <c r="X49" s="163"/>
      <c r="Y49" s="160"/>
      <c r="Z49" s="161"/>
      <c r="AA49" s="163"/>
      <c r="AB49" s="463"/>
      <c r="AC49" s="163"/>
      <c r="AD49" s="163"/>
      <c r="AE49" s="163"/>
      <c r="AF49" s="163"/>
      <c r="AG49" s="163"/>
      <c r="AH49" s="163"/>
      <c r="AI49" s="163"/>
      <c r="AJ49" s="163"/>
      <c r="AK49" s="163"/>
    </row>
    <row r="50" spans="3:37" s="459" customFormat="1" ht="18" x14ac:dyDescent="0.25">
      <c r="D50" s="458" t="s">
        <v>26</v>
      </c>
      <c r="E50" s="458"/>
      <c r="F50" s="536">
        <f t="shared" si="15"/>
        <v>18</v>
      </c>
      <c r="G50" s="460"/>
      <c r="H50" s="460"/>
      <c r="I50" s="460"/>
      <c r="J50" s="460"/>
      <c r="K50" s="460"/>
      <c r="L50" s="460"/>
      <c r="M50" s="460">
        <f>M7</f>
        <v>15</v>
      </c>
      <c r="N50" s="460"/>
      <c r="P50" s="460"/>
      <c r="Q50" s="460"/>
      <c r="R50" s="460">
        <f>R7</f>
        <v>3</v>
      </c>
      <c r="S50" s="460"/>
      <c r="T50" s="460"/>
      <c r="U50" s="462"/>
      <c r="V50" s="163"/>
      <c r="W50" s="203"/>
      <c r="X50" s="163"/>
      <c r="Y50" s="160"/>
      <c r="Z50" s="161"/>
      <c r="AA50" s="163"/>
      <c r="AB50" s="463"/>
      <c r="AC50" s="163"/>
      <c r="AD50" s="163"/>
      <c r="AE50" s="163"/>
      <c r="AF50" s="163"/>
      <c r="AG50" s="163"/>
      <c r="AH50" s="163"/>
      <c r="AI50" s="163"/>
      <c r="AJ50" s="163"/>
      <c r="AK50" s="163"/>
    </row>
    <row r="51" spans="3:37" s="459" customFormat="1" ht="18" x14ac:dyDescent="0.25">
      <c r="D51" s="458" t="s">
        <v>27</v>
      </c>
      <c r="E51" s="458"/>
      <c r="F51" s="536">
        <f t="shared" si="15"/>
        <v>500.64</v>
      </c>
      <c r="G51" s="460"/>
      <c r="H51" s="460"/>
      <c r="I51" s="460"/>
      <c r="J51" s="460"/>
      <c r="K51" s="460">
        <f>K33</f>
        <v>500.64</v>
      </c>
      <c r="L51" s="460"/>
      <c r="M51" s="460"/>
      <c r="N51" s="460"/>
      <c r="O51" s="460"/>
      <c r="P51" s="460"/>
      <c r="Q51" s="460"/>
      <c r="R51" s="460"/>
      <c r="S51" s="460"/>
      <c r="T51" s="460"/>
      <c r="U51" s="462"/>
      <c r="V51" s="163"/>
      <c r="W51" s="203"/>
      <c r="X51" s="163"/>
      <c r="Y51" s="160"/>
      <c r="Z51" s="161"/>
      <c r="AA51" s="163"/>
      <c r="AB51" s="463"/>
      <c r="AC51" s="163"/>
      <c r="AD51" s="163"/>
      <c r="AE51" s="163"/>
      <c r="AF51" s="163"/>
      <c r="AG51" s="163"/>
      <c r="AH51" s="163"/>
      <c r="AI51" s="163"/>
      <c r="AJ51" s="163"/>
      <c r="AK51" s="163"/>
    </row>
    <row r="52" spans="3:37" s="459" customFormat="1" ht="18" x14ac:dyDescent="0.25">
      <c r="D52" s="458" t="s">
        <v>219</v>
      </c>
      <c r="E52" s="458"/>
      <c r="F52" s="536">
        <f t="shared" si="15"/>
        <v>287.39999999999998</v>
      </c>
      <c r="G52" s="460"/>
      <c r="H52" s="460"/>
      <c r="I52" s="460"/>
      <c r="J52" s="460"/>
      <c r="K52" s="460"/>
      <c r="L52" s="460">
        <f>L33</f>
        <v>281.87</v>
      </c>
      <c r="M52" s="460"/>
      <c r="N52" s="460"/>
      <c r="O52" s="460"/>
      <c r="P52" s="460"/>
      <c r="Q52" s="460"/>
      <c r="R52" s="460">
        <f>R25</f>
        <v>5.53</v>
      </c>
      <c r="S52" s="460"/>
      <c r="T52" s="460"/>
      <c r="U52" s="462"/>
      <c r="V52" s="163"/>
      <c r="W52" s="203"/>
      <c r="X52" s="163"/>
      <c r="Y52" s="160"/>
      <c r="Z52" s="161"/>
      <c r="AA52" s="163"/>
      <c r="AB52" s="463"/>
      <c r="AC52" s="163"/>
      <c r="AD52" s="163"/>
      <c r="AE52" s="163"/>
      <c r="AF52" s="163"/>
      <c r="AG52" s="163"/>
      <c r="AH52" s="163"/>
      <c r="AI52" s="163"/>
      <c r="AJ52" s="163"/>
      <c r="AK52" s="163"/>
    </row>
    <row r="53" spans="3:37" s="459" customFormat="1" ht="18" x14ac:dyDescent="0.25">
      <c r="D53" s="458" t="s">
        <v>220</v>
      </c>
      <c r="E53" s="458"/>
      <c r="F53" s="536">
        <f t="shared" si="15"/>
        <v>25</v>
      </c>
      <c r="G53" s="460"/>
      <c r="H53" s="460"/>
      <c r="I53" s="460"/>
      <c r="J53" s="460"/>
      <c r="K53" s="460"/>
      <c r="L53" s="460"/>
      <c r="M53" s="460"/>
      <c r="N53" s="460">
        <f>N26</f>
        <v>25</v>
      </c>
      <c r="O53" s="460"/>
      <c r="P53" s="460"/>
      <c r="Q53" s="460"/>
      <c r="R53" s="460"/>
      <c r="S53" s="460"/>
      <c r="T53" s="460"/>
      <c r="U53" s="462"/>
      <c r="V53" s="163"/>
      <c r="W53" s="203"/>
      <c r="X53" s="163"/>
      <c r="Y53" s="160"/>
      <c r="Z53" s="161"/>
      <c r="AA53" s="163"/>
      <c r="AB53" s="463"/>
      <c r="AC53" s="163"/>
      <c r="AD53" s="163"/>
      <c r="AE53" s="163"/>
      <c r="AF53" s="163"/>
      <c r="AG53" s="163"/>
      <c r="AH53" s="163"/>
      <c r="AI53" s="163"/>
      <c r="AJ53" s="163"/>
      <c r="AK53" s="163"/>
    </row>
    <row r="54" spans="3:37" x14ac:dyDescent="0.25">
      <c r="D54" s="458" t="s">
        <v>221</v>
      </c>
      <c r="F54" s="536">
        <f t="shared" si="15"/>
        <v>111</v>
      </c>
      <c r="G54" s="268"/>
      <c r="H54" s="268"/>
      <c r="I54" s="268"/>
      <c r="J54" s="268"/>
      <c r="K54" s="268"/>
      <c r="L54" s="268"/>
      <c r="M54" s="268"/>
      <c r="N54" s="460">
        <f>N8</f>
        <v>111</v>
      </c>
      <c r="O54" s="268"/>
      <c r="P54" s="268"/>
      <c r="Q54" s="268"/>
      <c r="R54" s="268"/>
      <c r="S54" s="268"/>
      <c r="T54" s="268"/>
    </row>
    <row r="55" spans="3:37" x14ac:dyDescent="0.25">
      <c r="D55" s="458" t="s">
        <v>222</v>
      </c>
      <c r="F55" s="536">
        <f t="shared" si="15"/>
        <v>87.5</v>
      </c>
      <c r="G55" s="268"/>
      <c r="H55" s="268"/>
      <c r="I55" s="268"/>
      <c r="J55" s="268"/>
      <c r="K55" s="268"/>
      <c r="L55" s="268"/>
      <c r="M55" s="460">
        <f>M12</f>
        <v>87.5</v>
      </c>
      <c r="N55" s="268"/>
      <c r="O55" s="268"/>
      <c r="P55" s="268"/>
      <c r="Q55" s="268"/>
      <c r="R55" s="268"/>
      <c r="S55" s="268"/>
      <c r="T55" s="268"/>
    </row>
    <row r="56" spans="3:37" x14ac:dyDescent="0.25">
      <c r="D56" s="458" t="s">
        <v>225</v>
      </c>
      <c r="F56" s="536">
        <f t="shared" si="15"/>
        <v>0</v>
      </c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</row>
    <row r="57" spans="3:37" x14ac:dyDescent="0.25">
      <c r="D57" s="458" t="s">
        <v>226</v>
      </c>
      <c r="F57" s="536">
        <f t="shared" si="15"/>
        <v>0</v>
      </c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</row>
    <row r="58" spans="3:37" x14ac:dyDescent="0.25">
      <c r="D58" s="458" t="s">
        <v>223</v>
      </c>
      <c r="F58" s="536">
        <f t="shared" si="15"/>
        <v>25</v>
      </c>
      <c r="G58" s="268"/>
      <c r="H58" s="268"/>
      <c r="I58" s="268"/>
      <c r="J58" s="268"/>
      <c r="K58" s="268"/>
      <c r="L58" s="268"/>
      <c r="M58" s="460">
        <f>M27</f>
        <v>25</v>
      </c>
      <c r="N58" s="268"/>
      <c r="O58" s="268"/>
      <c r="P58" s="268"/>
      <c r="Q58" s="268"/>
      <c r="R58" s="268"/>
      <c r="S58" s="268"/>
      <c r="T58" s="268"/>
    </row>
    <row r="59" spans="3:37" x14ac:dyDescent="0.25">
      <c r="F59" s="538">
        <f>SUM(F46:F58)</f>
        <v>1564.12</v>
      </c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</row>
    <row r="60" spans="3:37" x14ac:dyDescent="0.25">
      <c r="C60" s="458" t="s">
        <v>200</v>
      </c>
      <c r="D60" s="458" t="s">
        <v>43</v>
      </c>
      <c r="F60" s="537">
        <f t="shared" si="15"/>
        <v>0</v>
      </c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</row>
    <row r="61" spans="3:37" x14ac:dyDescent="0.25">
      <c r="D61" s="458" t="s">
        <v>224</v>
      </c>
      <c r="F61" s="537">
        <f t="shared" si="15"/>
        <v>0</v>
      </c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</row>
    <row r="62" spans="3:37" x14ac:dyDescent="0.25">
      <c r="D62" s="458" t="s">
        <v>45</v>
      </c>
      <c r="F62" s="537">
        <f t="shared" si="15"/>
        <v>53.79</v>
      </c>
      <c r="G62" s="268"/>
      <c r="H62" s="268"/>
      <c r="I62" s="460">
        <f>I22</f>
        <v>53.79</v>
      </c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</row>
    <row r="63" spans="3:37" x14ac:dyDescent="0.25">
      <c r="D63" s="458" t="s">
        <v>47</v>
      </c>
      <c r="F63" s="537">
        <f t="shared" si="15"/>
        <v>1500</v>
      </c>
      <c r="G63" s="460">
        <f>G6+G17</f>
        <v>1500</v>
      </c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</row>
    <row r="64" spans="3:37" x14ac:dyDescent="0.25">
      <c r="F64" s="539">
        <f>SUM(F60:F63)</f>
        <v>1553.79</v>
      </c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</row>
    <row r="65" spans="6:20" s="155" customFormat="1" ht="15" x14ac:dyDescent="0.25"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</row>
    <row r="66" spans="6:20" s="155" customFormat="1" ht="15" x14ac:dyDescent="0.25"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</row>
    <row r="67" spans="6:20" s="155" customFormat="1" ht="15" x14ac:dyDescent="0.25"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6:20" s="155" customFormat="1" ht="15" x14ac:dyDescent="0.25">
      <c r="F68" s="540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</row>
    <row r="69" spans="6:20" s="155" customFormat="1" ht="15" x14ac:dyDescent="0.25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</row>
    <row r="70" spans="6:20" s="155" customFormat="1" ht="15" x14ac:dyDescent="0.25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</row>
    <row r="71" spans="6:20" s="155" customFormat="1" ht="15" x14ac:dyDescent="0.25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</row>
    <row r="72" spans="6:20" s="155" customFormat="1" ht="15" x14ac:dyDescent="0.25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</row>
    <row r="73" spans="6:20" s="155" customFormat="1" ht="15" x14ac:dyDescent="0.25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</row>
    <row r="74" spans="6:20" s="155" customFormat="1" ht="15" x14ac:dyDescent="0.25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</row>
    <row r="75" spans="6:20" s="155" customFormat="1" ht="15" x14ac:dyDescent="0.25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</row>
    <row r="76" spans="6:20" s="155" customFormat="1" ht="15" x14ac:dyDescent="0.25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</row>
    <row r="77" spans="6:20" s="155" customFormat="1" ht="15" x14ac:dyDescent="0.25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  <row r="78" spans="6:20" s="155" customFormat="1" ht="15" x14ac:dyDescent="0.25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</row>
    <row r="79" spans="6:20" s="155" customFormat="1" ht="15" x14ac:dyDescent="0.25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</row>
    <row r="80" spans="6:20" s="155" customFormat="1" ht="15" x14ac:dyDescent="0.25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</row>
    <row r="81" spans="7:20" s="155" customFormat="1" ht="15" x14ac:dyDescent="0.25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</row>
    <row r="82" spans="7:20" s="155" customFormat="1" ht="15" x14ac:dyDescent="0.25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</row>
    <row r="83" spans="7:20" s="155" customFormat="1" ht="15" x14ac:dyDescent="0.25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</row>
    <row r="84" spans="7:20" s="155" customFormat="1" ht="15" x14ac:dyDescent="0.25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</row>
    <row r="85" spans="7:20" s="155" customFormat="1" ht="15" x14ac:dyDescent="0.25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</row>
    <row r="86" spans="7:20" s="155" customFormat="1" ht="15" x14ac:dyDescent="0.25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</row>
    <row r="87" spans="7:20" s="155" customFormat="1" ht="15" x14ac:dyDescent="0.25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</row>
    <row r="88" spans="7:20" s="155" customFormat="1" ht="15" x14ac:dyDescent="0.25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</row>
    <row r="89" spans="7:20" s="155" customFormat="1" ht="15" x14ac:dyDescent="0.25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</row>
    <row r="90" spans="7:20" s="155" customFormat="1" ht="15" x14ac:dyDescent="0.25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</row>
    <row r="91" spans="7:20" s="155" customFormat="1" ht="15" x14ac:dyDescent="0.25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</row>
    <row r="92" spans="7:20" s="155" customFormat="1" ht="15" x14ac:dyDescent="0.25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</row>
    <row r="93" spans="7:20" s="155" customFormat="1" ht="15" x14ac:dyDescent="0.25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</row>
    <row r="94" spans="7:20" s="155" customFormat="1" ht="15" x14ac:dyDescent="0.25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</row>
    <row r="95" spans="7:20" s="155" customFormat="1" ht="15" x14ac:dyDescent="0.25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</row>
    <row r="96" spans="7:20" s="155" customFormat="1" ht="15" x14ac:dyDescent="0.25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</row>
    <row r="97" spans="7:20" s="155" customFormat="1" ht="15" x14ac:dyDescent="0.25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</row>
    <row r="98" spans="7:20" s="155" customFormat="1" ht="15" x14ac:dyDescent="0.25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</row>
    <row r="99" spans="7:20" s="155" customFormat="1" ht="15" x14ac:dyDescent="0.25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</row>
    <row r="100" spans="7:20" s="155" customFormat="1" ht="15" x14ac:dyDescent="0.25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</row>
    <row r="101" spans="7:20" s="155" customFormat="1" ht="15" x14ac:dyDescent="0.25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</row>
    <row r="102" spans="7:20" s="155" customFormat="1" ht="15" x14ac:dyDescent="0.25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</row>
    <row r="103" spans="7:20" s="155" customFormat="1" ht="15" x14ac:dyDescent="0.25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</row>
    <row r="104" spans="7:20" s="155" customFormat="1" ht="15" x14ac:dyDescent="0.25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</row>
    <row r="105" spans="7:20" s="155" customFormat="1" ht="15" x14ac:dyDescent="0.25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</row>
    <row r="106" spans="7:20" s="155" customFormat="1" ht="15" x14ac:dyDescent="0.25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</row>
    <row r="107" spans="7:20" s="155" customFormat="1" ht="15" x14ac:dyDescent="0.25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</row>
    <row r="108" spans="7:20" s="155" customFormat="1" ht="15" x14ac:dyDescent="0.25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</row>
    <row r="109" spans="7:20" s="155" customFormat="1" ht="15" x14ac:dyDescent="0.25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</row>
    <row r="110" spans="7:20" s="155" customFormat="1" ht="15" x14ac:dyDescent="0.25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</row>
    <row r="111" spans="7:20" s="155" customFormat="1" ht="15" x14ac:dyDescent="0.25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</row>
    <row r="112" spans="7:20" s="155" customFormat="1" ht="15" x14ac:dyDescent="0.25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</row>
    <row r="113" spans="7:20" s="155" customFormat="1" ht="15" x14ac:dyDescent="0.25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</row>
    <row r="114" spans="7:20" s="155" customFormat="1" ht="15" x14ac:dyDescent="0.25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</row>
    <row r="115" spans="7:20" s="155" customFormat="1" ht="15" x14ac:dyDescent="0.25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</row>
    <row r="116" spans="7:20" s="155" customFormat="1" ht="15" x14ac:dyDescent="0.25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</row>
    <row r="117" spans="7:20" s="155" customFormat="1" ht="15" x14ac:dyDescent="0.25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</row>
    <row r="118" spans="7:20" s="155" customFormat="1" ht="15" x14ac:dyDescent="0.25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</row>
    <row r="119" spans="7:20" s="155" customFormat="1" ht="15" x14ac:dyDescent="0.25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</row>
    <row r="120" spans="7:20" s="155" customFormat="1" ht="15" x14ac:dyDescent="0.25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</row>
    <row r="121" spans="7:20" s="155" customFormat="1" ht="15" x14ac:dyDescent="0.25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</row>
    <row r="122" spans="7:20" s="155" customFormat="1" ht="15" x14ac:dyDescent="0.25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</row>
    <row r="123" spans="7:20" s="155" customFormat="1" ht="15" x14ac:dyDescent="0.25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</row>
    <row r="124" spans="7:20" s="155" customFormat="1" ht="15" x14ac:dyDescent="0.25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</row>
    <row r="125" spans="7:20" s="155" customFormat="1" ht="15" x14ac:dyDescent="0.25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</row>
    <row r="126" spans="7:20" s="155" customFormat="1" ht="15" x14ac:dyDescent="0.25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</row>
    <row r="127" spans="7:20" s="155" customFormat="1" ht="15" x14ac:dyDescent="0.25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</row>
    <row r="128" spans="7:20" s="155" customFormat="1" ht="15" x14ac:dyDescent="0.25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</row>
    <row r="129" spans="7:20" s="155" customFormat="1" ht="15" x14ac:dyDescent="0.25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</row>
    <row r="130" spans="7:20" s="155" customFormat="1" ht="15" x14ac:dyDescent="0.25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</row>
    <row r="131" spans="7:20" s="155" customFormat="1" ht="15" x14ac:dyDescent="0.25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</row>
    <row r="132" spans="7:20" s="155" customFormat="1" ht="15" x14ac:dyDescent="0.25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</row>
    <row r="133" spans="7:20" s="155" customFormat="1" ht="15" x14ac:dyDescent="0.25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</row>
    <row r="134" spans="7:20" s="155" customFormat="1" ht="15" x14ac:dyDescent="0.25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</row>
    <row r="135" spans="7:20" s="155" customFormat="1" ht="15" x14ac:dyDescent="0.25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</row>
    <row r="136" spans="7:20" s="155" customFormat="1" ht="15" x14ac:dyDescent="0.25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</row>
    <row r="137" spans="7:20" s="155" customFormat="1" ht="15" x14ac:dyDescent="0.25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</row>
    <row r="138" spans="7:20" s="155" customFormat="1" ht="15" x14ac:dyDescent="0.25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</row>
    <row r="139" spans="7:20" s="155" customFormat="1" ht="15" x14ac:dyDescent="0.25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</row>
    <row r="140" spans="7:20" s="155" customFormat="1" ht="15" x14ac:dyDescent="0.25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</row>
    <row r="141" spans="7:20" s="155" customFormat="1" ht="15" x14ac:dyDescent="0.25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</row>
    <row r="142" spans="7:20" s="155" customFormat="1" ht="15" x14ac:dyDescent="0.25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</row>
    <row r="143" spans="7:20" s="155" customFormat="1" ht="15" x14ac:dyDescent="0.25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</row>
    <row r="144" spans="7:20" s="155" customFormat="1" ht="15" x14ac:dyDescent="0.25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</row>
    <row r="145" spans="7:20" s="155" customFormat="1" ht="15" x14ac:dyDescent="0.25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</row>
    <row r="146" spans="7:20" s="155" customFormat="1" ht="15" x14ac:dyDescent="0.25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</row>
    <row r="147" spans="7:20" s="155" customFormat="1" ht="15" x14ac:dyDescent="0.25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</row>
    <row r="148" spans="7:20" s="155" customFormat="1" ht="15" x14ac:dyDescent="0.25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</row>
    <row r="149" spans="7:20" s="155" customFormat="1" ht="15" x14ac:dyDescent="0.25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</row>
    <row r="150" spans="7:20" s="155" customFormat="1" ht="15" x14ac:dyDescent="0.25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</row>
    <row r="151" spans="7:20" s="155" customFormat="1" ht="15" x14ac:dyDescent="0.25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</row>
    <row r="152" spans="7:20" s="155" customFormat="1" ht="15" x14ac:dyDescent="0.25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</row>
    <row r="153" spans="7:20" s="155" customFormat="1" ht="15" x14ac:dyDescent="0.25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</row>
    <row r="154" spans="7:20" s="155" customFormat="1" ht="15" x14ac:dyDescent="0.25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</row>
    <row r="155" spans="7:20" s="155" customFormat="1" ht="15" x14ac:dyDescent="0.25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</row>
    <row r="156" spans="7:20" s="155" customFormat="1" ht="15" x14ac:dyDescent="0.25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</row>
    <row r="157" spans="7:20" s="155" customFormat="1" ht="15" x14ac:dyDescent="0.25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</row>
    <row r="158" spans="7:20" s="155" customFormat="1" ht="15" x14ac:dyDescent="0.25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</row>
    <row r="159" spans="7:20" s="155" customFormat="1" ht="15" x14ac:dyDescent="0.25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</row>
    <row r="160" spans="7:20" s="155" customFormat="1" ht="15" x14ac:dyDescent="0.25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</row>
    <row r="161" spans="7:20" s="155" customFormat="1" ht="15" x14ac:dyDescent="0.25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</row>
    <row r="162" spans="7:20" s="155" customFormat="1" ht="15" x14ac:dyDescent="0.25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</row>
    <row r="163" spans="7:20" s="155" customFormat="1" ht="15" x14ac:dyDescent="0.25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</row>
    <row r="164" spans="7:20" s="155" customFormat="1" ht="15" x14ac:dyDescent="0.25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</row>
    <row r="165" spans="7:20" s="155" customFormat="1" ht="15" x14ac:dyDescent="0.25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</row>
    <row r="166" spans="7:20" s="155" customFormat="1" ht="15" x14ac:dyDescent="0.25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</row>
    <row r="167" spans="7:20" s="155" customFormat="1" ht="15" x14ac:dyDescent="0.25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</row>
    <row r="168" spans="7:20" s="155" customFormat="1" ht="15" x14ac:dyDescent="0.25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</row>
    <row r="169" spans="7:20" s="155" customFormat="1" ht="15" x14ac:dyDescent="0.25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</row>
    <row r="170" spans="7:20" s="155" customFormat="1" ht="15" x14ac:dyDescent="0.25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</row>
    <row r="171" spans="7:20" s="155" customFormat="1" ht="15" x14ac:dyDescent="0.25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</row>
    <row r="172" spans="7:20" s="155" customFormat="1" ht="15" x14ac:dyDescent="0.25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</row>
    <row r="173" spans="7:20" s="155" customFormat="1" ht="15" x14ac:dyDescent="0.25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</row>
    <row r="174" spans="7:20" s="155" customFormat="1" ht="15" x14ac:dyDescent="0.25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</row>
    <row r="175" spans="7:20" s="155" customFormat="1" ht="15" x14ac:dyDescent="0.25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</row>
    <row r="176" spans="7:20" s="155" customFormat="1" ht="15" x14ac:dyDescent="0.25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</row>
    <row r="177" spans="7:20" s="155" customFormat="1" ht="15" x14ac:dyDescent="0.25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</row>
    <row r="178" spans="7:20" s="155" customFormat="1" ht="15" x14ac:dyDescent="0.25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</row>
    <row r="179" spans="7:20" s="155" customFormat="1" ht="15" x14ac:dyDescent="0.25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</row>
    <row r="180" spans="7:20" s="155" customFormat="1" ht="15" x14ac:dyDescent="0.25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</row>
    <row r="181" spans="7:20" s="155" customFormat="1" ht="15" x14ac:dyDescent="0.25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</row>
    <row r="182" spans="7:20" s="155" customFormat="1" ht="15" x14ac:dyDescent="0.25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</row>
    <row r="183" spans="7:20" s="155" customFormat="1" ht="15" x14ac:dyDescent="0.25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</row>
    <row r="184" spans="7:20" s="155" customFormat="1" ht="15" x14ac:dyDescent="0.25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</row>
    <row r="185" spans="7:20" s="155" customFormat="1" ht="15" x14ac:dyDescent="0.25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</row>
    <row r="186" spans="7:20" s="155" customFormat="1" ht="15" x14ac:dyDescent="0.25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</row>
    <row r="187" spans="7:20" s="155" customFormat="1" ht="15" x14ac:dyDescent="0.25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</row>
    <row r="188" spans="7:20" s="155" customFormat="1" ht="15" x14ac:dyDescent="0.25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</row>
    <row r="189" spans="7:20" s="155" customFormat="1" ht="15" x14ac:dyDescent="0.25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</row>
    <row r="190" spans="7:20" s="155" customFormat="1" ht="15" x14ac:dyDescent="0.25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</row>
    <row r="191" spans="7:20" s="155" customFormat="1" ht="15" x14ac:dyDescent="0.25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</row>
    <row r="192" spans="7:20" s="155" customFormat="1" ht="15" x14ac:dyDescent="0.25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</row>
    <row r="193" spans="7:20" s="155" customFormat="1" ht="15" x14ac:dyDescent="0.25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</row>
    <row r="194" spans="7:20" s="155" customFormat="1" ht="15" x14ac:dyDescent="0.25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</row>
    <row r="195" spans="7:20" s="155" customFormat="1" ht="15" x14ac:dyDescent="0.25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</row>
    <row r="196" spans="7:20" s="155" customFormat="1" ht="15" x14ac:dyDescent="0.25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</row>
    <row r="197" spans="7:20" s="155" customFormat="1" ht="15" x14ac:dyDescent="0.25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</row>
    <row r="198" spans="7:20" s="155" customFormat="1" ht="15" x14ac:dyDescent="0.25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</row>
    <row r="199" spans="7:20" s="155" customFormat="1" ht="15" x14ac:dyDescent="0.25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</row>
    <row r="200" spans="7:20" s="155" customFormat="1" ht="15" x14ac:dyDescent="0.25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</row>
    <row r="201" spans="7:20" s="155" customFormat="1" ht="15" x14ac:dyDescent="0.25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</row>
    <row r="202" spans="7:20" s="155" customFormat="1" ht="15" x14ac:dyDescent="0.25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</row>
    <row r="203" spans="7:20" s="155" customFormat="1" ht="15" x14ac:dyDescent="0.25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</row>
    <row r="204" spans="7:20" s="155" customFormat="1" ht="15" x14ac:dyDescent="0.25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</row>
    <row r="205" spans="7:20" s="155" customFormat="1" ht="15" x14ac:dyDescent="0.25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</row>
    <row r="206" spans="7:20" s="155" customFormat="1" ht="15" x14ac:dyDescent="0.25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</row>
    <row r="207" spans="7:20" s="155" customFormat="1" ht="15" x14ac:dyDescent="0.25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</row>
    <row r="208" spans="7:20" s="155" customFormat="1" ht="15" x14ac:dyDescent="0.25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</row>
  </sheetData>
  <mergeCells count="3">
    <mergeCell ref="B2:E2"/>
    <mergeCell ref="G2:I2"/>
    <mergeCell ref="J2:R2"/>
  </mergeCells>
  <conditionalFormatting sqref="J5:R5">
    <cfRule type="expression" dxfId="5" priority="1">
      <formula>"&lt;0"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210"/>
  <sheetViews>
    <sheetView topLeftCell="A11" workbookViewId="0">
      <selection activeCell="H9" sqref="H8:H9"/>
    </sheetView>
  </sheetViews>
  <sheetFormatPr baseColWidth="10" defaultColWidth="9.1640625" defaultRowHeight="19" x14ac:dyDescent="0.25"/>
  <cols>
    <col min="1" max="1" width="1.6640625" style="155" customWidth="1"/>
    <col min="2" max="2" width="11.83203125" style="155" customWidth="1"/>
    <col min="3" max="3" width="15.33203125" style="155" customWidth="1"/>
    <col min="4" max="4" width="48.33203125" style="267" customWidth="1"/>
    <col min="5" max="5" width="29.5" style="267" customWidth="1"/>
    <col min="6" max="6" width="11.5" style="155" customWidth="1"/>
    <col min="7" max="20" width="12.83203125" style="155" customWidth="1"/>
    <col min="21" max="21" width="5.83203125" style="269" customWidth="1"/>
    <col min="22" max="22" width="1.33203125" style="159" customWidth="1"/>
    <col min="23" max="23" width="20.1640625" style="203" hidden="1" customWidth="1"/>
    <col min="24" max="24" width="15.33203125" style="159" hidden="1" customWidth="1"/>
    <col min="25" max="25" width="13.5" style="160" hidden="1" customWidth="1"/>
    <col min="26" max="26" width="9.1640625" style="161" hidden="1" customWidth="1"/>
    <col min="27" max="27" width="2.5" style="159" hidden="1" customWidth="1"/>
    <col min="28" max="28" width="9.83203125" style="266" hidden="1" customWidth="1"/>
    <col min="29" max="29" width="30.83203125" style="163" hidden="1" customWidth="1"/>
    <col min="30" max="31" width="1.6640625" style="163" hidden="1" customWidth="1"/>
    <col min="32" max="32" width="5" style="163" customWidth="1"/>
    <col min="33" max="33" width="18.5" style="203" customWidth="1"/>
    <col min="34" max="34" width="10.33203125" style="681" customWidth="1"/>
    <col min="35" max="35" width="1.5" style="159" customWidth="1"/>
    <col min="36" max="40" width="9.1640625" style="159"/>
    <col min="41" max="16384" width="9.1640625" style="155"/>
  </cols>
  <sheetData>
    <row r="1" spans="2:40" ht="9" customHeight="1" thickBot="1" x14ac:dyDescent="0.3"/>
    <row r="2" spans="2:40" s="269" customFormat="1" ht="19.5" customHeight="1" thickTop="1" x14ac:dyDescent="0.25">
      <c r="B2" s="1214" t="s">
        <v>228</v>
      </c>
      <c r="C2" s="1215"/>
      <c r="D2" s="1215"/>
      <c r="E2" s="1216"/>
      <c r="F2" s="495"/>
      <c r="G2" s="1217" t="s">
        <v>174</v>
      </c>
      <c r="H2" s="1218"/>
      <c r="I2" s="1219"/>
      <c r="J2" s="1220" t="s">
        <v>175</v>
      </c>
      <c r="K2" s="1221"/>
      <c r="L2" s="1221"/>
      <c r="M2" s="1221"/>
      <c r="N2" s="1221"/>
      <c r="O2" s="1221"/>
      <c r="P2" s="1221"/>
      <c r="Q2" s="1221"/>
      <c r="R2" s="1221"/>
      <c r="S2" s="496"/>
      <c r="T2" s="497"/>
      <c r="U2" s="1226" t="s">
        <v>129</v>
      </c>
      <c r="V2" s="180"/>
      <c r="W2" s="273"/>
      <c r="X2" s="180"/>
      <c r="Y2" s="404"/>
      <c r="Z2" s="161"/>
      <c r="AA2" s="180"/>
      <c r="AB2" s="405" t="s">
        <v>71</v>
      </c>
      <c r="AC2" s="182"/>
      <c r="AD2" s="182"/>
      <c r="AE2" s="182"/>
      <c r="AF2" s="1222" t="s">
        <v>265</v>
      </c>
      <c r="AG2" s="1223"/>
      <c r="AH2" s="1224"/>
      <c r="AI2" s="180"/>
      <c r="AJ2" s="180"/>
      <c r="AK2" s="180"/>
      <c r="AL2" s="180"/>
      <c r="AM2" s="180"/>
      <c r="AN2" s="180"/>
    </row>
    <row r="3" spans="2:40" s="286" customFormat="1" ht="52" thickBot="1" x14ac:dyDescent="0.25">
      <c r="B3" s="498" t="s">
        <v>73</v>
      </c>
      <c r="C3" s="275" t="s">
        <v>74</v>
      </c>
      <c r="D3" s="276" t="s">
        <v>75</v>
      </c>
      <c r="E3" s="277" t="s">
        <v>76</v>
      </c>
      <c r="F3" s="278" t="s">
        <v>77</v>
      </c>
      <c r="G3" s="279" t="s">
        <v>78</v>
      </c>
      <c r="H3" s="275" t="s">
        <v>79</v>
      </c>
      <c r="I3" s="278" t="s">
        <v>80</v>
      </c>
      <c r="J3" s="279" t="s">
        <v>81</v>
      </c>
      <c r="K3" s="275" t="s">
        <v>82</v>
      </c>
      <c r="L3" s="275" t="s">
        <v>83</v>
      </c>
      <c r="M3" s="275" t="s">
        <v>84</v>
      </c>
      <c r="N3" s="275" t="s">
        <v>85</v>
      </c>
      <c r="O3" s="277" t="s">
        <v>127</v>
      </c>
      <c r="P3" s="277" t="s">
        <v>229</v>
      </c>
      <c r="Q3" s="277" t="s">
        <v>128</v>
      </c>
      <c r="R3" s="277" t="s">
        <v>80</v>
      </c>
      <c r="S3" s="280" t="s">
        <v>86</v>
      </c>
      <c r="T3" s="499" t="s">
        <v>87</v>
      </c>
      <c r="U3" s="1227"/>
      <c r="V3" s="282"/>
      <c r="W3" s="283"/>
      <c r="X3" s="282"/>
      <c r="Y3" s="407" t="s">
        <v>88</v>
      </c>
      <c r="Z3" s="408" t="s">
        <v>89</v>
      </c>
      <c r="AA3" s="282"/>
      <c r="AB3" s="409" t="s">
        <v>90</v>
      </c>
      <c r="AC3" s="409"/>
      <c r="AD3" s="285"/>
      <c r="AE3" s="285"/>
      <c r="AF3" s="498" t="s">
        <v>266</v>
      </c>
      <c r="AG3" s="275" t="s">
        <v>8</v>
      </c>
      <c r="AH3" s="682" t="s">
        <v>267</v>
      </c>
      <c r="AI3" s="282"/>
      <c r="AJ3" s="282"/>
      <c r="AK3" s="282"/>
      <c r="AL3" s="282"/>
      <c r="AM3" s="282"/>
      <c r="AN3" s="282"/>
    </row>
    <row r="4" spans="2:40" s="180" customFormat="1" ht="20" thickTop="1" x14ac:dyDescent="0.25">
      <c r="B4" s="500"/>
      <c r="C4" s="288"/>
      <c r="D4" s="288" t="s">
        <v>3</v>
      </c>
      <c r="E4" s="289"/>
      <c r="F4" s="290"/>
      <c r="G4" s="291">
        <v>1900</v>
      </c>
      <c r="H4" s="292">
        <v>0</v>
      </c>
      <c r="I4" s="293">
        <v>0</v>
      </c>
      <c r="J4" s="291">
        <v>75</v>
      </c>
      <c r="K4" s="292">
        <v>500</v>
      </c>
      <c r="L4" s="292">
        <v>262</v>
      </c>
      <c r="M4" s="292">
        <f>100+27</f>
        <v>127</v>
      </c>
      <c r="N4" s="292">
        <f>225+28+122</f>
        <v>375</v>
      </c>
      <c r="O4" s="294">
        <v>125</v>
      </c>
      <c r="P4" s="294"/>
      <c r="Q4" s="294">
        <v>16</v>
      </c>
      <c r="R4" s="294">
        <v>0</v>
      </c>
      <c r="S4" s="295">
        <f>SUM(J4:R4)</f>
        <v>1480</v>
      </c>
      <c r="T4" s="541">
        <v>399.61</v>
      </c>
      <c r="U4" s="683"/>
      <c r="W4" s="273"/>
      <c r="Y4" s="160"/>
      <c r="Z4" s="161"/>
      <c r="AD4" s="171"/>
      <c r="AE4" s="171"/>
      <c r="AF4" s="684">
        <v>1</v>
      </c>
      <c r="AG4" s="685"/>
      <c r="AH4" s="686">
        <f>ROUND(T4,0)</f>
        <v>400</v>
      </c>
    </row>
    <row r="5" spans="2:40" s="180" customFormat="1" ht="20" thickBot="1" x14ac:dyDescent="0.3">
      <c r="B5" s="506"/>
      <c r="C5" s="299"/>
      <c r="D5" s="299" t="s">
        <v>268</v>
      </c>
      <c r="E5" s="300"/>
      <c r="F5" s="301"/>
      <c r="G5" s="302"/>
      <c r="H5" s="303"/>
      <c r="I5" s="304"/>
      <c r="J5" s="305">
        <f t="shared" ref="J5:R5" si="0">J4-J31</f>
        <v>0</v>
      </c>
      <c r="K5" s="305">
        <f t="shared" si="0"/>
        <v>-0.63999999999998636</v>
      </c>
      <c r="L5" s="305">
        <f t="shared" si="0"/>
        <v>-28.470000000000027</v>
      </c>
      <c r="M5" s="305">
        <f t="shared" si="0"/>
        <v>17</v>
      </c>
      <c r="N5" s="305">
        <f t="shared" si="0"/>
        <v>-51.379999999999995</v>
      </c>
      <c r="O5" s="305">
        <f t="shared" si="0"/>
        <v>0</v>
      </c>
      <c r="P5" s="305">
        <f t="shared" si="0"/>
        <v>-500</v>
      </c>
      <c r="Q5" s="305">
        <f t="shared" si="0"/>
        <v>16</v>
      </c>
      <c r="R5" s="306">
        <f t="shared" si="0"/>
        <v>-15.93</v>
      </c>
      <c r="S5" s="307">
        <f>SUM(J5:R5)</f>
        <v>-563.41999999999996</v>
      </c>
      <c r="T5" s="542"/>
      <c r="U5" s="687"/>
      <c r="W5" s="273"/>
      <c r="Y5" s="160"/>
      <c r="Z5" s="161"/>
      <c r="AB5" s="181"/>
      <c r="AC5" s="182"/>
      <c r="AD5" s="182"/>
      <c r="AE5" s="182"/>
      <c r="AF5" s="688"/>
      <c r="AG5" s="689"/>
      <c r="AH5" s="690"/>
    </row>
    <row r="6" spans="2:40" s="180" customFormat="1" x14ac:dyDescent="0.25">
      <c r="B6" s="691">
        <v>41004</v>
      </c>
      <c r="C6" s="311" t="s">
        <v>114</v>
      </c>
      <c r="D6" s="312" t="s">
        <v>230</v>
      </c>
      <c r="E6" s="312" t="s">
        <v>231</v>
      </c>
      <c r="F6" s="314">
        <v>100379</v>
      </c>
      <c r="G6" s="318"/>
      <c r="H6" s="316"/>
      <c r="I6" s="317"/>
      <c r="J6" s="318"/>
      <c r="K6" s="316"/>
      <c r="L6" s="316"/>
      <c r="M6" s="316"/>
      <c r="N6" s="316">
        <v>114</v>
      </c>
      <c r="O6" s="319"/>
      <c r="P6" s="319"/>
      <c r="Q6" s="319"/>
      <c r="R6" s="319"/>
      <c r="S6" s="543">
        <f t="shared" ref="S6:S19" si="1">SUM(J6:R6)</f>
        <v>114</v>
      </c>
      <c r="T6" s="544">
        <f>T4+SUM(G6:I6)-S6</f>
        <v>285.61</v>
      </c>
      <c r="U6" s="692" t="s">
        <v>23</v>
      </c>
      <c r="W6" s="273"/>
      <c r="Y6" s="160">
        <f>T4+SUM(G6:I6)-SUM(J6:R6)</f>
        <v>285.61</v>
      </c>
      <c r="Z6" s="161" t="str">
        <f>IF(T6=Y6,"","ERROR")</f>
        <v/>
      </c>
      <c r="AB6" s="181"/>
      <c r="AC6" s="203"/>
      <c r="AD6" s="182"/>
      <c r="AE6" s="182"/>
      <c r="AF6" s="688"/>
      <c r="AG6" s="689"/>
      <c r="AH6" s="690"/>
    </row>
    <row r="7" spans="2:40" s="180" customFormat="1" x14ac:dyDescent="0.25">
      <c r="B7" s="693">
        <v>40660</v>
      </c>
      <c r="C7" s="545" t="s">
        <v>140</v>
      </c>
      <c r="D7" s="546" t="s">
        <v>141</v>
      </c>
      <c r="E7" s="547"/>
      <c r="F7" s="548"/>
      <c r="G7" s="549">
        <f>1900/2</f>
        <v>950</v>
      </c>
      <c r="H7" s="550"/>
      <c r="I7" s="551"/>
      <c r="J7" s="549"/>
      <c r="K7" s="550"/>
      <c r="L7" s="550"/>
      <c r="M7" s="552"/>
      <c r="N7" s="552"/>
      <c r="O7" s="553"/>
      <c r="P7" s="553"/>
      <c r="Q7" s="553"/>
      <c r="R7" s="553"/>
      <c r="S7" s="554">
        <f t="shared" ref="S7" si="2">SUM(J7:R7)</f>
        <v>0</v>
      </c>
      <c r="T7" s="555">
        <f>T6+SUM(G7:I7)-S7</f>
        <v>1235.6100000000001</v>
      </c>
      <c r="U7" s="694" t="s">
        <v>23</v>
      </c>
      <c r="W7" s="273"/>
      <c r="Y7" s="160">
        <f>T6+SUM(G7:I7)-SUM(J7:R7)</f>
        <v>1235.6100000000001</v>
      </c>
      <c r="Z7" s="161" t="str">
        <f t="shared" ref="Z7:Z28" si="3">IF(T7=Y7,"","ERROR")</f>
        <v/>
      </c>
      <c r="AB7" s="181"/>
      <c r="AC7" s="203"/>
      <c r="AD7" s="182"/>
      <c r="AE7" s="182"/>
      <c r="AF7" s="688"/>
      <c r="AG7" s="689"/>
      <c r="AH7" s="690"/>
    </row>
    <row r="8" spans="2:40" s="180" customFormat="1" x14ac:dyDescent="0.25">
      <c r="B8" s="695">
        <v>41043</v>
      </c>
      <c r="C8" s="206" t="s">
        <v>152</v>
      </c>
      <c r="D8" s="207" t="s">
        <v>232</v>
      </c>
      <c r="E8" s="325" t="s">
        <v>231</v>
      </c>
      <c r="F8" s="348">
        <v>100380</v>
      </c>
      <c r="G8" s="349"/>
      <c r="H8" s="212"/>
      <c r="I8" s="350"/>
      <c r="J8" s="349"/>
      <c r="K8" s="212"/>
      <c r="L8" s="212"/>
      <c r="M8" s="212">
        <v>35</v>
      </c>
      <c r="N8" s="212"/>
      <c r="O8" s="351"/>
      <c r="P8" s="351"/>
      <c r="Q8" s="351"/>
      <c r="R8" s="351"/>
      <c r="S8" s="373">
        <f t="shared" si="1"/>
        <v>35</v>
      </c>
      <c r="T8" s="556">
        <f>T7+SUM(G8:I8)-S8</f>
        <v>1200.6100000000001</v>
      </c>
      <c r="U8" s="694" t="s">
        <v>23</v>
      </c>
      <c r="W8" s="273"/>
      <c r="Y8" s="160">
        <f t="shared" ref="Y8:Y25" si="4">T7+SUM(G8:I8)-SUM(J8:R8)</f>
        <v>1200.6100000000001</v>
      </c>
      <c r="Z8" s="161" t="str">
        <f t="shared" si="3"/>
        <v/>
      </c>
      <c r="AB8" s="181"/>
      <c r="AC8" s="203"/>
      <c r="AD8" s="182"/>
      <c r="AE8" s="182"/>
      <c r="AF8" s="688"/>
      <c r="AG8" s="689"/>
      <c r="AH8" s="690"/>
    </row>
    <row r="9" spans="2:40" s="159" customFormat="1" x14ac:dyDescent="0.25">
      <c r="B9" s="696">
        <v>41071</v>
      </c>
      <c r="C9" s="215" t="s">
        <v>269</v>
      </c>
      <c r="D9" s="216" t="s">
        <v>233</v>
      </c>
      <c r="E9" s="325" t="s">
        <v>270</v>
      </c>
      <c r="F9" s="326">
        <v>100381</v>
      </c>
      <c r="G9" s="327"/>
      <c r="H9" s="221"/>
      <c r="I9" s="328"/>
      <c r="J9" s="329"/>
      <c r="K9" s="221">
        <v>100.16</v>
      </c>
      <c r="L9" s="221"/>
      <c r="M9" s="221"/>
      <c r="N9" s="221"/>
      <c r="O9" s="330"/>
      <c r="P9" s="330"/>
      <c r="Q9" s="330"/>
      <c r="R9" s="330"/>
      <c r="S9" s="373">
        <f t="shared" si="1"/>
        <v>100.16</v>
      </c>
      <c r="T9" s="556">
        <f t="shared" ref="T9:T25" si="5">T8+SUM(G9:I9)-S9</f>
        <v>1100.45</v>
      </c>
      <c r="U9" s="697" t="s">
        <v>23</v>
      </c>
      <c r="W9" s="203"/>
      <c r="Y9" s="160">
        <f t="shared" si="4"/>
        <v>1100.45</v>
      </c>
      <c r="Z9" s="161" t="str">
        <f t="shared" si="3"/>
        <v/>
      </c>
      <c r="AB9" s="181"/>
      <c r="AC9" s="203"/>
      <c r="AD9" s="182"/>
      <c r="AE9" s="182"/>
      <c r="AF9" s="688"/>
      <c r="AG9" s="689"/>
      <c r="AH9" s="698"/>
    </row>
    <row r="10" spans="2:40" s="159" customFormat="1" x14ac:dyDescent="0.25">
      <c r="B10" s="696">
        <v>41071</v>
      </c>
      <c r="C10" s="215" t="s">
        <v>163</v>
      </c>
      <c r="D10" s="216" t="s">
        <v>234</v>
      </c>
      <c r="E10" s="325" t="s">
        <v>270</v>
      </c>
      <c r="F10" s="326">
        <v>100382</v>
      </c>
      <c r="G10" s="327"/>
      <c r="H10" s="221"/>
      <c r="I10" s="328"/>
      <c r="J10" s="329"/>
      <c r="K10" s="221">
        <v>25</v>
      </c>
      <c r="L10" s="221"/>
      <c r="M10" s="221"/>
      <c r="N10" s="221"/>
      <c r="O10" s="330"/>
      <c r="P10" s="330"/>
      <c r="Q10" s="330"/>
      <c r="R10" s="330"/>
      <c r="S10" s="373">
        <f t="shared" si="1"/>
        <v>25</v>
      </c>
      <c r="T10" s="556">
        <f t="shared" si="5"/>
        <v>1075.45</v>
      </c>
      <c r="U10" s="697" t="s">
        <v>23</v>
      </c>
      <c r="W10" s="203"/>
      <c r="Y10" s="160">
        <f t="shared" si="4"/>
        <v>1075.45</v>
      </c>
      <c r="Z10" s="161" t="str">
        <f t="shared" si="3"/>
        <v/>
      </c>
      <c r="AB10" s="181"/>
      <c r="AC10" s="203"/>
      <c r="AD10" s="163"/>
      <c r="AE10" s="163"/>
      <c r="AF10" s="699"/>
      <c r="AG10" s="216"/>
      <c r="AH10" s="698"/>
    </row>
    <row r="11" spans="2:40" s="159" customFormat="1" x14ac:dyDescent="0.25">
      <c r="B11" s="700">
        <v>41102</v>
      </c>
      <c r="C11" s="557" t="s">
        <v>163</v>
      </c>
      <c r="D11" s="701" t="s">
        <v>235</v>
      </c>
      <c r="E11" s="547"/>
      <c r="F11" s="558"/>
      <c r="G11" s="559"/>
      <c r="H11" s="560"/>
      <c r="I11" s="561">
        <v>18.53</v>
      </c>
      <c r="J11" s="562"/>
      <c r="K11" s="560"/>
      <c r="L11" s="560"/>
      <c r="M11" s="560"/>
      <c r="N11" s="560"/>
      <c r="O11" s="563"/>
      <c r="P11" s="563"/>
      <c r="Q11" s="563"/>
      <c r="R11" s="563"/>
      <c r="S11" s="564">
        <f t="shared" ref="S11:S12" si="6">SUM(J11:R11)</f>
        <v>0</v>
      </c>
      <c r="T11" s="556">
        <f t="shared" si="5"/>
        <v>1093.98</v>
      </c>
      <c r="U11" s="697" t="s">
        <v>23</v>
      </c>
      <c r="W11" s="203"/>
      <c r="Y11" s="160">
        <f t="shared" si="4"/>
        <v>1093.98</v>
      </c>
      <c r="Z11" s="161"/>
      <c r="AB11" s="181"/>
      <c r="AC11" s="203"/>
      <c r="AD11" s="163"/>
      <c r="AE11" s="163"/>
      <c r="AF11" s="699"/>
      <c r="AG11" s="216"/>
      <c r="AH11" s="698"/>
    </row>
    <row r="12" spans="2:40" s="159" customFormat="1" x14ac:dyDescent="0.25">
      <c r="B12" s="696">
        <v>41169</v>
      </c>
      <c r="C12" s="215" t="s">
        <v>159</v>
      </c>
      <c r="D12" s="216" t="s">
        <v>236</v>
      </c>
      <c r="E12" s="325" t="s">
        <v>270</v>
      </c>
      <c r="F12" s="565">
        <v>100383</v>
      </c>
      <c r="G12" s="327"/>
      <c r="H12" s="221"/>
      <c r="I12" s="328"/>
      <c r="J12" s="329"/>
      <c r="K12" s="221"/>
      <c r="L12" s="221"/>
      <c r="M12" s="221">
        <v>50</v>
      </c>
      <c r="N12" s="221"/>
      <c r="O12" s="330"/>
      <c r="P12" s="330"/>
      <c r="Q12" s="330"/>
      <c r="R12" s="330">
        <v>10</v>
      </c>
      <c r="S12" s="373">
        <f t="shared" si="6"/>
        <v>60</v>
      </c>
      <c r="T12" s="556">
        <f t="shared" si="5"/>
        <v>1033.98</v>
      </c>
      <c r="U12" s="697" t="s">
        <v>23</v>
      </c>
      <c r="W12" s="203"/>
      <c r="Y12" s="160">
        <f t="shared" si="4"/>
        <v>1033.98</v>
      </c>
      <c r="Z12" s="161" t="str">
        <f t="shared" si="3"/>
        <v/>
      </c>
      <c r="AB12" s="181"/>
      <c r="AC12" s="203"/>
      <c r="AD12" s="163"/>
      <c r="AE12" s="163"/>
      <c r="AF12" s="699"/>
      <c r="AG12" s="216"/>
      <c r="AH12" s="698"/>
    </row>
    <row r="13" spans="2:40" s="159" customFormat="1" x14ac:dyDescent="0.25">
      <c r="B13" s="696">
        <v>41169</v>
      </c>
      <c r="C13" s="215" t="s">
        <v>112</v>
      </c>
      <c r="D13" s="216" t="s">
        <v>237</v>
      </c>
      <c r="E13" s="325" t="s">
        <v>270</v>
      </c>
      <c r="F13" s="565">
        <v>100384</v>
      </c>
      <c r="G13" s="327"/>
      <c r="H13" s="221"/>
      <c r="I13" s="328"/>
      <c r="J13" s="329"/>
      <c r="K13" s="221"/>
      <c r="L13" s="221"/>
      <c r="M13" s="221"/>
      <c r="N13" s="221">
        <v>282.38</v>
      </c>
      <c r="O13" s="330"/>
      <c r="P13" s="330"/>
      <c r="Q13" s="330"/>
      <c r="R13" s="330"/>
      <c r="S13" s="373">
        <f t="shared" si="1"/>
        <v>282.38</v>
      </c>
      <c r="T13" s="556">
        <f t="shared" si="5"/>
        <v>751.6</v>
      </c>
      <c r="U13" s="697" t="s">
        <v>23</v>
      </c>
      <c r="W13" s="203"/>
      <c r="Y13" s="160">
        <f t="shared" si="4"/>
        <v>751.6</v>
      </c>
      <c r="Z13" s="161" t="str">
        <f t="shared" si="3"/>
        <v/>
      </c>
      <c r="AB13" s="181"/>
      <c r="AC13" s="203"/>
      <c r="AD13" s="163"/>
      <c r="AE13" s="163"/>
      <c r="AF13" s="699"/>
      <c r="AG13" s="216"/>
      <c r="AH13" s="698"/>
    </row>
    <row r="14" spans="2:40" s="159" customFormat="1" x14ac:dyDescent="0.25">
      <c r="B14" s="696">
        <v>41169</v>
      </c>
      <c r="C14" s="215" t="s">
        <v>269</v>
      </c>
      <c r="D14" s="216" t="s">
        <v>238</v>
      </c>
      <c r="E14" s="325" t="s">
        <v>270</v>
      </c>
      <c r="F14" s="565">
        <v>100385</v>
      </c>
      <c r="G14" s="327"/>
      <c r="H14" s="221"/>
      <c r="I14" s="328"/>
      <c r="J14" s="329"/>
      <c r="K14" s="221">
        <v>100.16</v>
      </c>
      <c r="L14" s="221"/>
      <c r="M14" s="221"/>
      <c r="N14" s="221"/>
      <c r="O14" s="330"/>
      <c r="P14" s="330"/>
      <c r="Q14" s="330"/>
      <c r="R14" s="330"/>
      <c r="S14" s="373">
        <f t="shared" si="1"/>
        <v>100.16</v>
      </c>
      <c r="T14" s="556">
        <f t="shared" si="5"/>
        <v>651.44000000000005</v>
      </c>
      <c r="U14" s="697" t="s">
        <v>23</v>
      </c>
      <c r="W14" s="203"/>
      <c r="Y14" s="160">
        <f t="shared" si="4"/>
        <v>651.44000000000005</v>
      </c>
      <c r="Z14" s="161" t="str">
        <f t="shared" si="3"/>
        <v/>
      </c>
      <c r="AB14" s="181"/>
      <c r="AC14" s="203"/>
      <c r="AD14" s="163"/>
      <c r="AE14" s="163"/>
      <c r="AF14" s="699"/>
      <c r="AG14" s="216"/>
      <c r="AH14" s="698"/>
    </row>
    <row r="15" spans="2:40" s="159" customFormat="1" x14ac:dyDescent="0.25">
      <c r="B15" s="696">
        <v>41169</v>
      </c>
      <c r="C15" s="215" t="s">
        <v>163</v>
      </c>
      <c r="D15" s="216" t="s">
        <v>239</v>
      </c>
      <c r="E15" s="325" t="s">
        <v>270</v>
      </c>
      <c r="F15" s="565">
        <v>100386</v>
      </c>
      <c r="G15" s="327"/>
      <c r="H15" s="221"/>
      <c r="I15" s="328"/>
      <c r="J15" s="329"/>
      <c r="K15" s="221">
        <v>25</v>
      </c>
      <c r="L15" s="221"/>
      <c r="M15" s="221"/>
      <c r="N15" s="221"/>
      <c r="O15" s="330"/>
      <c r="P15" s="330"/>
      <c r="Q15" s="330"/>
      <c r="R15" s="330"/>
      <c r="S15" s="373">
        <f t="shared" si="1"/>
        <v>25</v>
      </c>
      <c r="T15" s="556">
        <f t="shared" si="5"/>
        <v>626.44000000000005</v>
      </c>
      <c r="U15" s="697" t="s">
        <v>23</v>
      </c>
      <c r="W15" s="203"/>
      <c r="Y15" s="160">
        <f t="shared" si="4"/>
        <v>626.44000000000005</v>
      </c>
      <c r="Z15" s="161" t="str">
        <f t="shared" si="3"/>
        <v/>
      </c>
      <c r="AB15" s="181"/>
      <c r="AC15" s="203"/>
      <c r="AD15" s="182"/>
      <c r="AE15" s="182"/>
      <c r="AF15" s="688"/>
      <c r="AG15" s="689"/>
      <c r="AH15" s="698"/>
    </row>
    <row r="16" spans="2:40" s="159" customFormat="1" x14ac:dyDescent="0.25">
      <c r="B16" s="696">
        <v>41169</v>
      </c>
      <c r="C16" s="215" t="s">
        <v>271</v>
      </c>
      <c r="D16" s="227" t="s">
        <v>240</v>
      </c>
      <c r="E16" s="325" t="s">
        <v>270</v>
      </c>
      <c r="F16" s="565">
        <v>100387</v>
      </c>
      <c r="G16" s="327"/>
      <c r="H16" s="221"/>
      <c r="I16" s="328"/>
      <c r="J16" s="329"/>
      <c r="K16" s="221"/>
      <c r="L16" s="221"/>
      <c r="M16" s="221">
        <v>25</v>
      </c>
      <c r="N16" s="221"/>
      <c r="O16" s="330"/>
      <c r="P16" s="330"/>
      <c r="Q16" s="330"/>
      <c r="R16" s="330"/>
      <c r="S16" s="373">
        <f t="shared" si="1"/>
        <v>25</v>
      </c>
      <c r="T16" s="556">
        <f t="shared" si="5"/>
        <v>601.44000000000005</v>
      </c>
      <c r="U16" s="697" t="s">
        <v>23</v>
      </c>
      <c r="W16" s="203"/>
      <c r="Y16" s="160">
        <f t="shared" si="4"/>
        <v>601.44000000000005</v>
      </c>
      <c r="Z16" s="161"/>
      <c r="AB16" s="181"/>
      <c r="AC16" s="203"/>
      <c r="AD16" s="182"/>
      <c r="AE16" s="182"/>
      <c r="AF16" s="688"/>
      <c r="AG16" s="689"/>
      <c r="AH16" s="698"/>
    </row>
    <row r="17" spans="2:34" s="155" customFormat="1" x14ac:dyDescent="0.25">
      <c r="B17" s="700">
        <v>41178</v>
      </c>
      <c r="C17" s="557" t="s">
        <v>140</v>
      </c>
      <c r="D17" s="702" t="s">
        <v>187</v>
      </c>
      <c r="E17" s="547"/>
      <c r="F17" s="558"/>
      <c r="G17" s="703">
        <v>950</v>
      </c>
      <c r="H17" s="567"/>
      <c r="I17" s="568"/>
      <c r="J17" s="559"/>
      <c r="K17" s="567"/>
      <c r="L17" s="560"/>
      <c r="M17" s="569"/>
      <c r="N17" s="560"/>
      <c r="O17" s="563"/>
      <c r="P17" s="563"/>
      <c r="Q17" s="563"/>
      <c r="R17" s="563"/>
      <c r="S17" s="564">
        <f>SUM(J17:R17)</f>
        <v>0</v>
      </c>
      <c r="T17" s="556">
        <f t="shared" si="5"/>
        <v>1551.44</v>
      </c>
      <c r="U17" s="697" t="s">
        <v>23</v>
      </c>
      <c r="V17" s="159"/>
      <c r="W17" s="371" t="s">
        <v>241</v>
      </c>
      <c r="X17" s="444"/>
      <c r="Y17" s="160">
        <f t="shared" si="4"/>
        <v>1551.44</v>
      </c>
      <c r="Z17" s="161" t="str">
        <f>IF(T17=Y17,"","ERROR")</f>
        <v/>
      </c>
      <c r="AA17" s="159"/>
      <c r="AB17" s="181"/>
      <c r="AC17" s="203"/>
      <c r="AD17" s="182"/>
      <c r="AE17" s="182"/>
      <c r="AF17" s="688"/>
      <c r="AG17" s="689"/>
      <c r="AH17" s="698"/>
    </row>
    <row r="18" spans="2:34" s="159" customFormat="1" x14ac:dyDescent="0.25">
      <c r="B18" s="704">
        <v>41211</v>
      </c>
      <c r="C18" s="225" t="s">
        <v>146</v>
      </c>
      <c r="D18" s="226" t="s">
        <v>242</v>
      </c>
      <c r="E18" s="325" t="s">
        <v>243</v>
      </c>
      <c r="F18" s="326">
        <v>100388</v>
      </c>
      <c r="G18" s="327"/>
      <c r="H18" s="221"/>
      <c r="I18" s="328"/>
      <c r="J18" s="329"/>
      <c r="K18" s="221"/>
      <c r="L18" s="221"/>
      <c r="M18" s="221"/>
      <c r="N18" s="221"/>
      <c r="O18" s="330">
        <v>125</v>
      </c>
      <c r="P18" s="330"/>
      <c r="Q18" s="330"/>
      <c r="R18" s="330"/>
      <c r="S18" s="373">
        <f t="shared" si="1"/>
        <v>125</v>
      </c>
      <c r="T18" s="556">
        <f t="shared" si="5"/>
        <v>1426.44</v>
      </c>
      <c r="U18" s="697" t="s">
        <v>23</v>
      </c>
      <c r="W18" s="203"/>
      <c r="Y18" s="160">
        <f t="shared" si="4"/>
        <v>1426.44</v>
      </c>
      <c r="Z18" s="161" t="str">
        <f t="shared" si="3"/>
        <v/>
      </c>
      <c r="AB18" s="181"/>
      <c r="AC18" s="203"/>
      <c r="AD18" s="163"/>
      <c r="AE18" s="163"/>
      <c r="AF18" s="699"/>
      <c r="AG18" s="216"/>
      <c r="AH18" s="698"/>
    </row>
    <row r="19" spans="2:34" s="155" customFormat="1" x14ac:dyDescent="0.25">
      <c r="B19" s="704">
        <v>41211</v>
      </c>
      <c r="C19" s="215" t="s">
        <v>272</v>
      </c>
      <c r="D19" s="227" t="s">
        <v>244</v>
      </c>
      <c r="E19" s="325" t="s">
        <v>243</v>
      </c>
      <c r="F19" s="326">
        <v>100389</v>
      </c>
      <c r="G19" s="366"/>
      <c r="H19" s="231"/>
      <c r="I19" s="367"/>
      <c r="J19" s="368">
        <v>75</v>
      </c>
      <c r="K19" s="231"/>
      <c r="L19" s="221"/>
      <c r="M19" s="570"/>
      <c r="N19" s="221"/>
      <c r="O19" s="330"/>
      <c r="P19" s="330"/>
      <c r="Q19" s="330"/>
      <c r="R19" s="330"/>
      <c r="S19" s="373">
        <f t="shared" si="1"/>
        <v>75</v>
      </c>
      <c r="T19" s="556">
        <f t="shared" si="5"/>
        <v>1351.44</v>
      </c>
      <c r="U19" s="697" t="s">
        <v>23</v>
      </c>
      <c r="V19" s="159"/>
      <c r="W19" s="448" t="s">
        <v>273</v>
      </c>
      <c r="X19" s="159"/>
      <c r="Y19" s="160">
        <f t="shared" si="4"/>
        <v>1351.44</v>
      </c>
      <c r="Z19" s="161" t="str">
        <f t="shared" si="3"/>
        <v/>
      </c>
      <c r="AA19" s="159"/>
      <c r="AB19" s="181"/>
      <c r="AC19" s="203"/>
      <c r="AD19" s="182"/>
      <c r="AE19" s="182"/>
      <c r="AF19" s="688"/>
      <c r="AG19" s="689"/>
      <c r="AH19" s="698"/>
    </row>
    <row r="20" spans="2:34" s="155" customFormat="1" x14ac:dyDescent="0.25">
      <c r="B20" s="704">
        <v>41270</v>
      </c>
      <c r="C20" s="215" t="s">
        <v>163</v>
      </c>
      <c r="D20" s="216" t="s">
        <v>245</v>
      </c>
      <c r="E20" s="325" t="s">
        <v>274</v>
      </c>
      <c r="F20" s="326">
        <v>100390</v>
      </c>
      <c r="G20" s="366"/>
      <c r="H20" s="231"/>
      <c r="I20" s="367"/>
      <c r="J20" s="368"/>
      <c r="K20" s="221">
        <v>25</v>
      </c>
      <c r="L20" s="221"/>
      <c r="M20" s="570"/>
      <c r="N20" s="221"/>
      <c r="O20" s="330"/>
      <c r="P20" s="330"/>
      <c r="Q20" s="330"/>
      <c r="R20" s="330"/>
      <c r="S20" s="373">
        <f t="shared" ref="S20:S22" si="7">SUM(J20:R20)</f>
        <v>25</v>
      </c>
      <c r="T20" s="556">
        <f t="shared" si="5"/>
        <v>1326.44</v>
      </c>
      <c r="U20" s="697" t="s">
        <v>23</v>
      </c>
      <c r="V20" s="159"/>
      <c r="W20" s="448"/>
      <c r="X20" s="159"/>
      <c r="Y20" s="160">
        <f t="shared" si="4"/>
        <v>1326.44</v>
      </c>
      <c r="Z20" s="161"/>
      <c r="AA20" s="159"/>
      <c r="AB20" s="181"/>
      <c r="AC20" s="203"/>
      <c r="AD20" s="182"/>
      <c r="AE20" s="182"/>
      <c r="AF20" s="688"/>
      <c r="AG20" s="689"/>
      <c r="AH20" s="698"/>
    </row>
    <row r="21" spans="2:34" s="155" customFormat="1" x14ac:dyDescent="0.25">
      <c r="B21" s="704">
        <v>41316</v>
      </c>
      <c r="C21" s="215" t="s">
        <v>275</v>
      </c>
      <c r="D21" s="227" t="s">
        <v>276</v>
      </c>
      <c r="E21" s="325" t="s">
        <v>274</v>
      </c>
      <c r="F21" s="354">
        <v>100391</v>
      </c>
      <c r="G21" s="366"/>
      <c r="H21" s="231"/>
      <c r="I21" s="367"/>
      <c r="J21" s="571"/>
      <c r="K21" s="231"/>
      <c r="L21" s="221"/>
      <c r="M21" s="221"/>
      <c r="N21" s="221"/>
      <c r="O21" s="330"/>
      <c r="P21" s="330">
        <v>500</v>
      </c>
      <c r="Q21" s="330"/>
      <c r="R21" s="330"/>
      <c r="S21" s="373">
        <f t="shared" si="7"/>
        <v>500</v>
      </c>
      <c r="T21" s="556">
        <f t="shared" si="5"/>
        <v>826.44</v>
      </c>
      <c r="U21" s="697" t="s">
        <v>23</v>
      </c>
      <c r="V21" s="159"/>
      <c r="W21" s="448"/>
      <c r="X21" s="159"/>
      <c r="Y21" s="160">
        <f t="shared" si="4"/>
        <v>826.44</v>
      </c>
      <c r="Z21" s="161"/>
      <c r="AA21" s="159"/>
      <c r="AB21" s="181"/>
      <c r="AC21" s="203"/>
      <c r="AD21" s="182"/>
      <c r="AE21" s="182"/>
      <c r="AF21" s="688"/>
      <c r="AG21" s="689"/>
      <c r="AH21" s="698"/>
    </row>
    <row r="22" spans="2:34" s="155" customFormat="1" x14ac:dyDescent="0.25">
      <c r="B22" s="696">
        <v>41344</v>
      </c>
      <c r="C22" s="215" t="s">
        <v>269</v>
      </c>
      <c r="D22" s="216" t="s">
        <v>277</v>
      </c>
      <c r="E22" s="325" t="s">
        <v>278</v>
      </c>
      <c r="F22" s="326">
        <v>100392</v>
      </c>
      <c r="G22" s="366"/>
      <c r="H22" s="231"/>
      <c r="I22" s="367"/>
      <c r="J22" s="366"/>
      <c r="K22" s="221">
        <f>100.16+100.16</f>
        <v>200.32</v>
      </c>
      <c r="L22" s="221"/>
      <c r="M22" s="570"/>
      <c r="N22" s="221"/>
      <c r="O22" s="330"/>
      <c r="P22" s="330"/>
      <c r="Q22" s="330"/>
      <c r="R22" s="330"/>
      <c r="S22" s="373">
        <f t="shared" si="7"/>
        <v>200.32</v>
      </c>
      <c r="T22" s="556">
        <f t="shared" si="5"/>
        <v>626.12000000000012</v>
      </c>
      <c r="U22" s="697" t="s">
        <v>23</v>
      </c>
      <c r="V22" s="159"/>
      <c r="W22" s="371"/>
      <c r="X22" s="444"/>
      <c r="Y22" s="160">
        <f t="shared" si="4"/>
        <v>626.12000000000012</v>
      </c>
      <c r="Z22" s="161" t="str">
        <f t="shared" si="3"/>
        <v/>
      </c>
      <c r="AA22" s="159"/>
      <c r="AB22" s="181"/>
      <c r="AC22" s="203"/>
      <c r="AD22" s="182"/>
      <c r="AE22" s="182"/>
      <c r="AF22" s="688"/>
      <c r="AG22" s="689"/>
      <c r="AH22" s="698"/>
    </row>
    <row r="23" spans="2:34" s="155" customFormat="1" x14ac:dyDescent="0.25">
      <c r="B23" s="696">
        <v>41344</v>
      </c>
      <c r="C23" s="215" t="s">
        <v>163</v>
      </c>
      <c r="D23" s="216" t="s">
        <v>246</v>
      </c>
      <c r="E23" s="325" t="s">
        <v>278</v>
      </c>
      <c r="F23" s="326">
        <v>100393</v>
      </c>
      <c r="G23" s="366"/>
      <c r="H23" s="231"/>
      <c r="I23" s="367"/>
      <c r="J23" s="366"/>
      <c r="K23" s="221">
        <v>25</v>
      </c>
      <c r="L23" s="221"/>
      <c r="M23" s="570"/>
      <c r="N23" s="221"/>
      <c r="O23" s="330"/>
      <c r="P23" s="330"/>
      <c r="Q23" s="330"/>
      <c r="R23" s="330"/>
      <c r="S23" s="373">
        <f t="shared" ref="S23:S25" si="8">SUM(J23:R23)</f>
        <v>25</v>
      </c>
      <c r="T23" s="556">
        <f t="shared" si="5"/>
        <v>601.12000000000012</v>
      </c>
      <c r="U23" s="697" t="s">
        <v>23</v>
      </c>
      <c r="V23" s="159"/>
      <c r="W23" s="371"/>
      <c r="X23" s="444"/>
      <c r="Y23" s="160">
        <f t="shared" si="4"/>
        <v>601.12000000000012</v>
      </c>
      <c r="Z23" s="161"/>
      <c r="AA23" s="159"/>
      <c r="AB23" s="181"/>
      <c r="AC23" s="203"/>
      <c r="AD23" s="182"/>
      <c r="AE23" s="182"/>
      <c r="AF23" s="688"/>
      <c r="AG23" s="689"/>
      <c r="AH23" s="698"/>
    </row>
    <row r="24" spans="2:34" s="155" customFormat="1" x14ac:dyDescent="0.25">
      <c r="B24" s="696">
        <v>41344</v>
      </c>
      <c r="C24" s="215" t="s">
        <v>269</v>
      </c>
      <c r="D24" s="227" t="s">
        <v>247</v>
      </c>
      <c r="E24" s="325" t="s">
        <v>278</v>
      </c>
      <c r="F24" s="326">
        <v>100394</v>
      </c>
      <c r="G24" s="366"/>
      <c r="H24" s="231"/>
      <c r="I24" s="367"/>
      <c r="J24" s="571"/>
      <c r="K24" s="231"/>
      <c r="L24" s="221">
        <v>290.47000000000003</v>
      </c>
      <c r="M24" s="221"/>
      <c r="N24" s="221"/>
      <c r="O24" s="330"/>
      <c r="P24" s="330"/>
      <c r="Q24" s="330"/>
      <c r="R24" s="330">
        <v>5.93</v>
      </c>
      <c r="S24" s="373">
        <f t="shared" si="8"/>
        <v>296.40000000000003</v>
      </c>
      <c r="T24" s="556">
        <f t="shared" si="5"/>
        <v>304.72000000000008</v>
      </c>
      <c r="U24" s="697" t="s">
        <v>23</v>
      </c>
      <c r="V24" s="159"/>
      <c r="W24" s="371"/>
      <c r="X24" s="447"/>
      <c r="Y24" s="160">
        <f t="shared" si="4"/>
        <v>304.72000000000008</v>
      </c>
      <c r="Z24" s="161" t="str">
        <f t="shared" si="3"/>
        <v/>
      </c>
      <c r="AA24" s="159"/>
      <c r="AB24" s="181"/>
      <c r="AC24" s="203"/>
      <c r="AD24" s="163"/>
      <c r="AE24" s="163"/>
      <c r="AF24" s="699"/>
      <c r="AG24" s="216"/>
      <c r="AH24" s="698"/>
    </row>
    <row r="25" spans="2:34" s="155" customFormat="1" x14ac:dyDescent="0.25">
      <c r="B25" s="696">
        <v>41344</v>
      </c>
      <c r="C25" s="215" t="s">
        <v>279</v>
      </c>
      <c r="D25" s="227" t="s">
        <v>280</v>
      </c>
      <c r="E25" s="325" t="s">
        <v>278</v>
      </c>
      <c r="F25" s="326">
        <v>100395</v>
      </c>
      <c r="G25" s="366"/>
      <c r="H25" s="231"/>
      <c r="I25" s="367"/>
      <c r="J25" s="571"/>
      <c r="K25" s="231"/>
      <c r="L25" s="221"/>
      <c r="M25" s="221"/>
      <c r="N25" s="221">
        <v>30</v>
      </c>
      <c r="O25" s="330"/>
      <c r="P25" s="330"/>
      <c r="Q25" s="330"/>
      <c r="R25" s="330"/>
      <c r="S25" s="373">
        <f t="shared" si="8"/>
        <v>30</v>
      </c>
      <c r="T25" s="556">
        <f t="shared" si="5"/>
        <v>274.72000000000008</v>
      </c>
      <c r="U25" s="697"/>
      <c r="V25" s="159"/>
      <c r="W25" s="448"/>
      <c r="X25" s="447"/>
      <c r="Y25" s="160">
        <f t="shared" si="4"/>
        <v>274.72000000000008</v>
      </c>
      <c r="Z25" s="161" t="str">
        <f t="shared" si="3"/>
        <v/>
      </c>
      <c r="AA25" s="159"/>
      <c r="AB25" s="181"/>
      <c r="AC25" s="203"/>
      <c r="AD25" s="163"/>
      <c r="AE25" s="163"/>
      <c r="AF25" s="699"/>
      <c r="AG25" s="216"/>
      <c r="AH25" s="698"/>
    </row>
    <row r="26" spans="2:34" s="155" customFormat="1" x14ac:dyDescent="0.25">
      <c r="B26" s="696"/>
      <c r="C26" s="215"/>
      <c r="D26" s="566"/>
      <c r="E26" s="374"/>
      <c r="F26" s="326"/>
      <c r="G26" s="366"/>
      <c r="H26" s="231"/>
      <c r="I26" s="367"/>
      <c r="J26" s="571"/>
      <c r="K26" s="231"/>
      <c r="L26" s="221"/>
      <c r="M26" s="221"/>
      <c r="N26" s="221"/>
      <c r="O26" s="330"/>
      <c r="P26" s="330"/>
      <c r="Q26" s="330"/>
      <c r="R26" s="330"/>
      <c r="S26" s="705"/>
      <c r="T26" s="706"/>
      <c r="U26" s="697"/>
      <c r="V26" s="159"/>
      <c r="W26" s="572"/>
      <c r="X26" s="447"/>
      <c r="Y26" s="160"/>
      <c r="Z26" s="161" t="str">
        <f t="shared" si="3"/>
        <v/>
      </c>
      <c r="AA26" s="159"/>
      <c r="AB26" s="181"/>
      <c r="AC26" s="203"/>
      <c r="AD26" s="163"/>
      <c r="AE26" s="163"/>
      <c r="AF26" s="699"/>
      <c r="AG26" s="216"/>
      <c r="AH26" s="698"/>
    </row>
    <row r="27" spans="2:34" s="155" customFormat="1" x14ac:dyDescent="0.25">
      <c r="B27" s="696"/>
      <c r="C27" s="215"/>
      <c r="D27" s="566"/>
      <c r="E27" s="374"/>
      <c r="F27" s="354"/>
      <c r="G27" s="366"/>
      <c r="H27" s="231"/>
      <c r="I27" s="367"/>
      <c r="J27" s="571"/>
      <c r="K27" s="231"/>
      <c r="L27" s="221"/>
      <c r="M27" s="221"/>
      <c r="N27" s="221"/>
      <c r="O27" s="330"/>
      <c r="P27" s="330"/>
      <c r="Q27" s="330"/>
      <c r="R27" s="330"/>
      <c r="S27" s="705"/>
      <c r="T27" s="706"/>
      <c r="U27" s="697"/>
      <c r="V27" s="159"/>
      <c r="W27" s="572"/>
      <c r="X27" s="447"/>
      <c r="Y27" s="160"/>
      <c r="Z27" s="161" t="str">
        <f t="shared" si="3"/>
        <v/>
      </c>
      <c r="AA27" s="159"/>
      <c r="AB27" s="181"/>
      <c r="AC27" s="203"/>
      <c r="AD27" s="163"/>
      <c r="AE27" s="163"/>
      <c r="AF27" s="699"/>
      <c r="AG27" s="216"/>
      <c r="AH27" s="698"/>
    </row>
    <row r="28" spans="2:34" s="155" customFormat="1" x14ac:dyDescent="0.25">
      <c r="B28" s="696"/>
      <c r="C28" s="215"/>
      <c r="D28" s="566"/>
      <c r="E28" s="374"/>
      <c r="F28" s="354"/>
      <c r="G28" s="366"/>
      <c r="H28" s="231"/>
      <c r="I28" s="367"/>
      <c r="J28" s="571"/>
      <c r="K28" s="231"/>
      <c r="L28" s="221"/>
      <c r="M28" s="221"/>
      <c r="N28" s="221"/>
      <c r="O28" s="330"/>
      <c r="P28" s="330"/>
      <c r="Q28" s="330"/>
      <c r="R28" s="330"/>
      <c r="S28" s="705"/>
      <c r="T28" s="706"/>
      <c r="U28" s="697"/>
      <c r="V28" s="159"/>
      <c r="W28" s="203"/>
      <c r="X28" s="444"/>
      <c r="Y28" s="160"/>
      <c r="Z28" s="161" t="str">
        <f t="shared" si="3"/>
        <v/>
      </c>
      <c r="AA28" s="159"/>
      <c r="AB28" s="181"/>
      <c r="AC28" s="203"/>
      <c r="AD28" s="244"/>
      <c r="AE28" s="244"/>
      <c r="AF28" s="707"/>
      <c r="AG28" s="708"/>
      <c r="AH28" s="698"/>
    </row>
    <row r="29" spans="2:34" s="155" customFormat="1" x14ac:dyDescent="0.25">
      <c r="B29" s="696"/>
      <c r="C29" s="215"/>
      <c r="D29" s="227"/>
      <c r="E29" s="374"/>
      <c r="F29" s="354"/>
      <c r="G29" s="366"/>
      <c r="H29" s="231"/>
      <c r="I29" s="367"/>
      <c r="J29" s="571"/>
      <c r="K29" s="231"/>
      <c r="L29" s="231"/>
      <c r="M29" s="221"/>
      <c r="N29" s="231"/>
      <c r="O29" s="370"/>
      <c r="P29" s="370"/>
      <c r="Q29" s="370"/>
      <c r="R29" s="370"/>
      <c r="S29" s="705"/>
      <c r="T29" s="706"/>
      <c r="U29" s="697"/>
      <c r="V29" s="159"/>
      <c r="W29" s="203"/>
      <c r="X29" s="159"/>
      <c r="Y29" s="160"/>
      <c r="Z29" s="161"/>
      <c r="AA29" s="159"/>
      <c r="AB29" s="245"/>
      <c r="AC29" s="246"/>
      <c r="AD29" s="247"/>
      <c r="AE29" s="247"/>
      <c r="AF29" s="709"/>
      <c r="AG29" s="710"/>
      <c r="AH29" s="698"/>
    </row>
    <row r="30" spans="2:34" s="155" customFormat="1" ht="20" thickBot="1" x14ac:dyDescent="0.3">
      <c r="B30" s="711"/>
      <c r="C30" s="215"/>
      <c r="D30" s="227"/>
      <c r="E30" s="383"/>
      <c r="F30" s="384"/>
      <c r="G30" s="385"/>
      <c r="H30" s="386"/>
      <c r="I30" s="387"/>
      <c r="J30" s="573"/>
      <c r="K30" s="386"/>
      <c r="L30" s="386"/>
      <c r="M30" s="386"/>
      <c r="N30" s="386"/>
      <c r="O30" s="389"/>
      <c r="P30" s="389"/>
      <c r="Q30" s="389"/>
      <c r="R30" s="389"/>
      <c r="S30" s="390"/>
      <c r="T30" s="574"/>
      <c r="U30" s="712"/>
      <c r="V30" s="159"/>
      <c r="W30" s="203"/>
      <c r="X30" s="159"/>
      <c r="Y30" s="160"/>
      <c r="Z30" s="161"/>
      <c r="AA30" s="159"/>
      <c r="AB30" s="245"/>
      <c r="AC30" s="246"/>
      <c r="AD30" s="247"/>
      <c r="AE30" s="247"/>
      <c r="AF30" s="709"/>
      <c r="AG30" s="710"/>
      <c r="AH30" s="698"/>
    </row>
    <row r="31" spans="2:34" s="155" customFormat="1" ht="21" thickTop="1" thickBot="1" x14ac:dyDescent="0.3">
      <c r="B31" s="713"/>
      <c r="C31" s="522"/>
      <c r="D31" s="523" t="s">
        <v>122</v>
      </c>
      <c r="E31" s="524"/>
      <c r="F31" s="525"/>
      <c r="G31" s="575">
        <f>SUM(G7:G30)</f>
        <v>1900</v>
      </c>
      <c r="H31" s="575">
        <f t="shared" ref="H31:S31" si="9">SUM(H6:H30)</f>
        <v>0</v>
      </c>
      <c r="I31" s="576">
        <f t="shared" si="9"/>
        <v>18.53</v>
      </c>
      <c r="J31" s="577">
        <f t="shared" si="9"/>
        <v>75</v>
      </c>
      <c r="K31" s="578">
        <f t="shared" si="9"/>
        <v>500.64</v>
      </c>
      <c r="L31" s="578">
        <f t="shared" si="9"/>
        <v>290.47000000000003</v>
      </c>
      <c r="M31" s="578">
        <f t="shared" si="9"/>
        <v>110</v>
      </c>
      <c r="N31" s="578">
        <f t="shared" si="9"/>
        <v>426.38</v>
      </c>
      <c r="O31" s="578">
        <f t="shared" si="9"/>
        <v>125</v>
      </c>
      <c r="P31" s="578">
        <f t="shared" si="9"/>
        <v>500</v>
      </c>
      <c r="Q31" s="578">
        <f t="shared" si="9"/>
        <v>0</v>
      </c>
      <c r="R31" s="579">
        <f t="shared" si="9"/>
        <v>15.93</v>
      </c>
      <c r="S31" s="580">
        <f t="shared" si="9"/>
        <v>2043.4199999999998</v>
      </c>
      <c r="T31" s="581">
        <f>T4+SUM(G31:I31)-S31</f>
        <v>274.72000000000003</v>
      </c>
      <c r="U31" s="714"/>
      <c r="V31" s="159"/>
      <c r="W31" s="203"/>
      <c r="X31" s="159"/>
      <c r="Y31" s="160"/>
      <c r="Z31" s="161"/>
      <c r="AA31" s="159"/>
      <c r="AB31" s="266"/>
      <c r="AC31" s="203"/>
      <c r="AD31" s="163"/>
      <c r="AE31" s="163"/>
      <c r="AF31" s="699">
        <v>7</v>
      </c>
      <c r="AG31" s="216" t="s">
        <v>281</v>
      </c>
      <c r="AH31" s="690">
        <f>ROUND(T31,0)</f>
        <v>275</v>
      </c>
    </row>
    <row r="32" spans="2:34" s="155" customFormat="1" ht="20" thickTop="1" x14ac:dyDescent="0.25">
      <c r="D32" s="267"/>
      <c r="E32" s="267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9"/>
      <c r="V32" s="159"/>
      <c r="W32" s="203"/>
      <c r="X32" s="159"/>
      <c r="Y32" s="160"/>
      <c r="Z32" s="161"/>
      <c r="AA32" s="159"/>
      <c r="AB32" s="266"/>
      <c r="AC32" s="203"/>
      <c r="AD32" s="163"/>
      <c r="AE32" s="163"/>
      <c r="AF32" s="699"/>
      <c r="AG32" s="216"/>
      <c r="AH32" s="698"/>
    </row>
    <row r="33" spans="3:40" s="459" customFormat="1" ht="18" x14ac:dyDescent="0.25">
      <c r="D33" s="458" t="s">
        <v>282</v>
      </c>
      <c r="E33" s="458"/>
      <c r="G33" s="460"/>
      <c r="H33" s="460"/>
      <c r="I33" s="460"/>
      <c r="J33" s="715"/>
      <c r="K33" s="460"/>
      <c r="L33" s="460"/>
      <c r="M33" s="460"/>
      <c r="N33" s="460"/>
      <c r="O33" s="460"/>
      <c r="P33" s="460"/>
      <c r="Q33" s="460"/>
      <c r="R33" s="460"/>
      <c r="S33" s="460"/>
      <c r="T33" s="533">
        <f>S31-K31</f>
        <v>1542.7799999999997</v>
      </c>
      <c r="U33" s="462"/>
      <c r="V33" s="163"/>
      <c r="W33" s="203"/>
      <c r="X33" s="163"/>
      <c r="Y33" s="160"/>
      <c r="Z33" s="161"/>
      <c r="AA33" s="163"/>
      <c r="AB33" s="463"/>
      <c r="AC33" s="203"/>
      <c r="AD33" s="163"/>
      <c r="AE33" s="163"/>
      <c r="AF33" s="699"/>
      <c r="AG33" s="216"/>
      <c r="AH33" s="698"/>
      <c r="AI33" s="163"/>
      <c r="AJ33" s="163"/>
      <c r="AK33" s="163"/>
      <c r="AL33" s="163"/>
      <c r="AM33" s="163"/>
      <c r="AN33" s="163"/>
    </row>
    <row r="34" spans="3:40" x14ac:dyDescent="0.25">
      <c r="D34" s="716" t="s">
        <v>283</v>
      </c>
      <c r="E34" s="458" t="s">
        <v>284</v>
      </c>
      <c r="G34" s="268"/>
      <c r="H34" s="268"/>
      <c r="I34" s="268"/>
      <c r="J34" s="715">
        <f>6.8*133</f>
        <v>904.4</v>
      </c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W34" s="582"/>
      <c r="AF34" s="699"/>
      <c r="AG34" s="216"/>
      <c r="AH34" s="698"/>
    </row>
    <row r="35" spans="3:40" x14ac:dyDescent="0.25">
      <c r="D35" s="716" t="s">
        <v>285</v>
      </c>
      <c r="E35" s="458" t="s">
        <v>286</v>
      </c>
      <c r="G35" s="268"/>
      <c r="H35" s="268"/>
      <c r="I35" s="268"/>
      <c r="J35" s="715">
        <f>6.98*131</f>
        <v>914.38000000000011</v>
      </c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W35" s="582"/>
      <c r="AF35" s="699"/>
      <c r="AG35" s="216"/>
      <c r="AH35" s="698"/>
    </row>
    <row r="36" spans="3:40" s="459" customFormat="1" ht="18" x14ac:dyDescent="0.25">
      <c r="C36" s="583" t="s">
        <v>212</v>
      </c>
      <c r="D36" s="458"/>
      <c r="E36" s="458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717"/>
      <c r="T36" s="718">
        <f>T4</f>
        <v>399.61</v>
      </c>
      <c r="U36" s="462"/>
      <c r="V36" s="163"/>
      <c r="W36" s="584"/>
      <c r="X36" s="163"/>
      <c r="Y36" s="160"/>
      <c r="Z36" s="161"/>
      <c r="AA36" s="163"/>
      <c r="AB36" s="463"/>
      <c r="AC36" s="163"/>
      <c r="AD36" s="163"/>
      <c r="AE36" s="163"/>
      <c r="AF36" s="699">
        <v>1</v>
      </c>
      <c r="AG36" s="216" t="s">
        <v>287</v>
      </c>
      <c r="AH36" s="690">
        <f>ROUND(T36,0)</f>
        <v>400</v>
      </c>
      <c r="AI36" s="163"/>
      <c r="AJ36" s="163"/>
      <c r="AK36" s="163"/>
      <c r="AL36" s="163"/>
      <c r="AM36" s="163"/>
      <c r="AN36" s="163"/>
    </row>
    <row r="37" spans="3:40" x14ac:dyDescent="0.25"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719"/>
      <c r="T37" s="719"/>
      <c r="W37" s="535"/>
      <c r="AF37" s="699"/>
      <c r="AG37" s="216"/>
      <c r="AH37" s="698"/>
    </row>
    <row r="38" spans="3:40" s="459" customFormat="1" ht="18" x14ac:dyDescent="0.25">
      <c r="C38" s="458" t="s">
        <v>200</v>
      </c>
      <c r="D38" s="458" t="s">
        <v>47</v>
      </c>
      <c r="E38" s="458"/>
      <c r="G38" s="460">
        <f>G31</f>
        <v>1900</v>
      </c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717">
        <f>SUM(G38:R38)</f>
        <v>1900</v>
      </c>
      <c r="T38" s="717"/>
      <c r="U38" s="462"/>
      <c r="V38" s="163"/>
      <c r="W38" s="534"/>
      <c r="X38" s="163"/>
      <c r="Y38" s="160"/>
      <c r="Z38" s="161"/>
      <c r="AA38" s="163"/>
      <c r="AB38" s="463"/>
      <c r="AC38" s="163"/>
      <c r="AD38" s="163"/>
      <c r="AE38" s="163"/>
      <c r="AF38" s="699">
        <v>2</v>
      </c>
      <c r="AG38" s="216" t="s">
        <v>47</v>
      </c>
      <c r="AH38" s="690">
        <f>ROUND(S38,0)</f>
        <v>1900</v>
      </c>
      <c r="AI38" s="163"/>
      <c r="AJ38" s="163"/>
      <c r="AK38" s="163"/>
      <c r="AL38" s="163"/>
      <c r="AM38" s="163"/>
      <c r="AN38" s="163"/>
    </row>
    <row r="39" spans="3:40" s="459" customFormat="1" ht="18" x14ac:dyDescent="0.25">
      <c r="C39" s="458"/>
      <c r="D39" s="458" t="s">
        <v>213</v>
      </c>
      <c r="E39" s="458"/>
      <c r="G39" s="460"/>
      <c r="H39" s="460"/>
      <c r="I39" s="460">
        <f>I31</f>
        <v>18.53</v>
      </c>
      <c r="J39" s="460"/>
      <c r="K39" s="460"/>
      <c r="L39" s="460"/>
      <c r="M39" s="460"/>
      <c r="N39" s="460"/>
      <c r="O39" s="460"/>
      <c r="P39" s="460"/>
      <c r="Q39" s="460"/>
      <c r="R39" s="460"/>
      <c r="S39" s="717">
        <f t="shared" ref="S39:S42" si="10">SUM(G39:R39)</f>
        <v>18.53</v>
      </c>
      <c r="T39" s="717"/>
      <c r="U39" s="462"/>
      <c r="V39" s="163"/>
      <c r="W39" s="534"/>
      <c r="X39" s="163"/>
      <c r="Y39" s="160"/>
      <c r="Z39" s="161"/>
      <c r="AA39" s="163"/>
      <c r="AB39" s="463"/>
      <c r="AC39" s="163"/>
      <c r="AD39" s="163"/>
      <c r="AE39" s="163"/>
      <c r="AF39" s="699">
        <v>3</v>
      </c>
      <c r="AG39" s="216" t="s">
        <v>288</v>
      </c>
      <c r="AH39" s="690">
        <f>ROUND(S39,0)</f>
        <v>19</v>
      </c>
      <c r="AI39" s="163"/>
      <c r="AJ39" s="163"/>
      <c r="AK39" s="163"/>
      <c r="AL39" s="163"/>
      <c r="AM39" s="163"/>
      <c r="AN39" s="163"/>
    </row>
    <row r="40" spans="3:40" s="459" customFormat="1" ht="18" x14ac:dyDescent="0.25">
      <c r="C40" s="458"/>
      <c r="D40" s="583" t="s">
        <v>64</v>
      </c>
      <c r="E40" s="458"/>
      <c r="G40" s="460"/>
      <c r="H40" s="460"/>
      <c r="I40" s="460"/>
      <c r="J40" s="460"/>
      <c r="K40" s="460"/>
      <c r="L40" s="460"/>
      <c r="M40" s="460"/>
      <c r="N40" s="460"/>
      <c r="O40" s="460"/>
      <c r="P40" s="460"/>
      <c r="Q40" s="460"/>
      <c r="R40" s="460"/>
      <c r="S40" s="717"/>
      <c r="T40" s="718">
        <f>SUM(S38:S39)</f>
        <v>1918.53</v>
      </c>
      <c r="U40" s="462"/>
      <c r="V40" s="163"/>
      <c r="W40" s="584"/>
      <c r="X40" s="163"/>
      <c r="Y40" s="160"/>
      <c r="Z40" s="161"/>
      <c r="AA40" s="163"/>
      <c r="AB40" s="463"/>
      <c r="AC40" s="163"/>
      <c r="AD40" s="163"/>
      <c r="AE40" s="163"/>
      <c r="AF40" s="699"/>
      <c r="AG40" s="216"/>
      <c r="AH40" s="698"/>
      <c r="AI40" s="163"/>
      <c r="AJ40" s="163"/>
      <c r="AK40" s="163"/>
      <c r="AL40" s="163"/>
      <c r="AM40" s="163"/>
      <c r="AN40" s="163"/>
    </row>
    <row r="41" spans="3:40" s="459" customFormat="1" ht="18" x14ac:dyDescent="0.25">
      <c r="C41" s="458" t="s">
        <v>214</v>
      </c>
      <c r="D41" s="458" t="s">
        <v>215</v>
      </c>
      <c r="E41" s="458"/>
      <c r="G41" s="460"/>
      <c r="H41" s="460"/>
      <c r="I41" s="460"/>
      <c r="J41" s="460"/>
      <c r="K41" s="460">
        <f>K31</f>
        <v>500.64</v>
      </c>
      <c r="L41" s="460"/>
      <c r="M41" s="460"/>
      <c r="N41" s="460"/>
      <c r="O41" s="460"/>
      <c r="P41" s="460"/>
      <c r="Q41" s="460"/>
      <c r="R41" s="460"/>
      <c r="S41" s="717">
        <f t="shared" si="10"/>
        <v>500.64</v>
      </c>
      <c r="T41" s="717"/>
      <c r="U41" s="462"/>
      <c r="V41" s="163"/>
      <c r="W41" s="534"/>
      <c r="X41" s="163"/>
      <c r="Y41" s="160"/>
      <c r="Z41" s="161"/>
      <c r="AA41" s="163"/>
      <c r="AB41" s="463"/>
      <c r="AC41" s="163"/>
      <c r="AD41" s="163"/>
      <c r="AE41" s="163"/>
      <c r="AF41" s="699">
        <v>4</v>
      </c>
      <c r="AG41" s="216" t="s">
        <v>215</v>
      </c>
      <c r="AH41" s="690">
        <f>ROUND(S41,0)</f>
        <v>501</v>
      </c>
      <c r="AI41" s="163"/>
      <c r="AJ41" s="163"/>
      <c r="AK41" s="163"/>
      <c r="AL41" s="163"/>
      <c r="AM41" s="163"/>
      <c r="AN41" s="163"/>
    </row>
    <row r="42" spans="3:40" s="459" customFormat="1" ht="18" x14ac:dyDescent="0.25">
      <c r="D42" s="458" t="s">
        <v>216</v>
      </c>
      <c r="E42" s="458"/>
      <c r="G42" s="460"/>
      <c r="H42" s="460"/>
      <c r="I42" s="460"/>
      <c r="J42" s="460">
        <f>J31</f>
        <v>75</v>
      </c>
      <c r="K42" s="460"/>
      <c r="L42" s="460">
        <f>L31</f>
        <v>290.47000000000003</v>
      </c>
      <c r="M42" s="460">
        <f>M31</f>
        <v>110</v>
      </c>
      <c r="N42" s="460">
        <f t="shared" ref="N42:R42" si="11">N31</f>
        <v>426.38</v>
      </c>
      <c r="O42" s="460">
        <f t="shared" si="11"/>
        <v>125</v>
      </c>
      <c r="P42" s="460">
        <f t="shared" si="11"/>
        <v>500</v>
      </c>
      <c r="Q42" s="460">
        <f t="shared" si="11"/>
        <v>0</v>
      </c>
      <c r="R42" s="460">
        <f t="shared" si="11"/>
        <v>15.93</v>
      </c>
      <c r="S42" s="717">
        <f t="shared" si="10"/>
        <v>1542.78</v>
      </c>
      <c r="T42" s="717"/>
      <c r="U42" s="462"/>
      <c r="V42" s="163"/>
      <c r="W42" s="534"/>
      <c r="X42" s="163"/>
      <c r="Y42" s="160"/>
      <c r="Z42" s="161"/>
      <c r="AA42" s="163"/>
      <c r="AB42" s="463"/>
      <c r="AC42" s="163"/>
      <c r="AD42" s="163"/>
      <c r="AE42" s="163"/>
      <c r="AF42" s="699">
        <v>6</v>
      </c>
      <c r="AG42" s="216" t="s">
        <v>214</v>
      </c>
      <c r="AH42" s="690">
        <f>ROUND(S42,0)</f>
        <v>1543</v>
      </c>
      <c r="AI42" s="163"/>
      <c r="AJ42" s="163"/>
      <c r="AK42" s="163"/>
      <c r="AL42" s="163"/>
      <c r="AM42" s="163"/>
      <c r="AN42" s="163"/>
    </row>
    <row r="43" spans="3:40" x14ac:dyDescent="0.25">
      <c r="D43" s="583" t="s">
        <v>249</v>
      </c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720"/>
      <c r="T43" s="718">
        <f>SUM(S41:S42)</f>
        <v>2043.42</v>
      </c>
      <c r="W43" s="584"/>
      <c r="AF43" s="699"/>
      <c r="AG43" s="216"/>
      <c r="AH43" s="698"/>
    </row>
    <row r="44" spans="3:40" x14ac:dyDescent="0.25"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720"/>
      <c r="T44" s="720"/>
      <c r="W44" s="268"/>
      <c r="AF44" s="699"/>
      <c r="AG44" s="216"/>
      <c r="AH44" s="698"/>
    </row>
    <row r="45" spans="3:40" x14ac:dyDescent="0.25">
      <c r="C45" s="583" t="s">
        <v>289</v>
      </c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720"/>
      <c r="T45" s="721">
        <f>T36+T40-T43</f>
        <v>274.7199999999998</v>
      </c>
      <c r="U45" s="722">
        <f>T31/G4</f>
        <v>0.14458947368421055</v>
      </c>
      <c r="W45" s="268"/>
      <c r="X45" s="517"/>
      <c r="AF45" s="699">
        <v>8</v>
      </c>
      <c r="AG45" s="216" t="s">
        <v>290</v>
      </c>
      <c r="AH45" s="690">
        <f>ROUND(T45,0)</f>
        <v>275</v>
      </c>
    </row>
    <row r="46" spans="3:40" ht="7.5" customHeight="1" x14ac:dyDescent="0.25"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AF46" s="699"/>
      <c r="AG46" s="216"/>
      <c r="AH46" s="698"/>
    </row>
    <row r="47" spans="3:40" x14ac:dyDescent="0.25">
      <c r="C47" s="1225" t="s">
        <v>291</v>
      </c>
      <c r="D47" s="458" t="s">
        <v>292</v>
      </c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461">
        <v>2500</v>
      </c>
      <c r="AF47" s="699"/>
      <c r="AG47" s="216"/>
      <c r="AH47" s="698"/>
    </row>
    <row r="48" spans="3:40" x14ac:dyDescent="0.25">
      <c r="C48" s="1225"/>
      <c r="D48" s="458" t="s">
        <v>293</v>
      </c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461">
        <v>400</v>
      </c>
      <c r="AF48" s="699"/>
      <c r="AG48" s="216"/>
      <c r="AH48" s="698"/>
    </row>
    <row r="49" spans="3:34" s="155" customFormat="1" x14ac:dyDescent="0.25">
      <c r="C49" s="1225"/>
      <c r="D49" s="458" t="s">
        <v>294</v>
      </c>
      <c r="E49" s="267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461">
        <v>200</v>
      </c>
      <c r="U49" s="269"/>
      <c r="V49" s="159"/>
      <c r="W49" s="203"/>
      <c r="X49" s="159"/>
      <c r="Y49" s="160"/>
      <c r="Z49" s="161"/>
      <c r="AA49" s="159"/>
      <c r="AB49" s="266"/>
      <c r="AC49" s="163"/>
      <c r="AD49" s="163"/>
      <c r="AE49" s="163"/>
      <c r="AF49" s="699"/>
      <c r="AG49" s="216"/>
      <c r="AH49" s="698"/>
    </row>
    <row r="50" spans="3:34" s="155" customFormat="1" ht="20" thickBot="1" x14ac:dyDescent="0.3">
      <c r="D50" s="583" t="s">
        <v>295</v>
      </c>
      <c r="E50" s="267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723">
        <f>SUM(T47:T49)</f>
        <v>3100</v>
      </c>
      <c r="U50" s="269"/>
      <c r="V50" s="159"/>
      <c r="W50" s="203"/>
      <c r="X50" s="159"/>
      <c r="Y50" s="160"/>
      <c r="Z50" s="161"/>
      <c r="AA50" s="159"/>
      <c r="AB50" s="266"/>
      <c r="AC50" s="163"/>
      <c r="AD50" s="163"/>
      <c r="AE50" s="163"/>
      <c r="AF50" s="724">
        <v>9</v>
      </c>
      <c r="AG50" s="725" t="s">
        <v>296</v>
      </c>
      <c r="AH50" s="726">
        <f>ROUND(T50,0)</f>
        <v>3100</v>
      </c>
    </row>
    <row r="51" spans="3:34" s="155" customFormat="1" ht="20" thickTop="1" x14ac:dyDescent="0.25">
      <c r="D51" s="267"/>
      <c r="E51" s="267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9"/>
      <c r="V51" s="159"/>
      <c r="W51" s="203"/>
      <c r="X51" s="159"/>
      <c r="Y51" s="160"/>
      <c r="Z51" s="161"/>
      <c r="AA51" s="159"/>
      <c r="AB51" s="266"/>
      <c r="AC51" s="163"/>
      <c r="AD51" s="163"/>
      <c r="AE51" s="163"/>
      <c r="AF51" s="163"/>
      <c r="AG51" s="203"/>
      <c r="AH51" s="681"/>
    </row>
    <row r="52" spans="3:34" s="155" customFormat="1" x14ac:dyDescent="0.25">
      <c r="D52" s="267"/>
      <c r="E52" s="267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9"/>
      <c r="V52" s="159"/>
      <c r="W52" s="203"/>
      <c r="X52" s="159"/>
      <c r="Y52" s="160"/>
      <c r="Z52" s="161"/>
      <c r="AA52" s="159"/>
      <c r="AB52" s="266"/>
      <c r="AC52" s="163"/>
      <c r="AD52" s="163"/>
      <c r="AE52" s="163"/>
      <c r="AF52" s="163"/>
      <c r="AG52" s="203"/>
      <c r="AH52" s="681"/>
    </row>
    <row r="53" spans="3:34" s="155" customFormat="1" x14ac:dyDescent="0.25">
      <c r="D53" s="267"/>
      <c r="E53" s="267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9"/>
      <c r="V53" s="159"/>
      <c r="W53" s="203"/>
      <c r="X53" s="159"/>
      <c r="Y53" s="160"/>
      <c r="Z53" s="161"/>
      <c r="AA53" s="159"/>
      <c r="AB53" s="266"/>
      <c r="AC53" s="163"/>
      <c r="AD53" s="163"/>
      <c r="AE53" s="163"/>
      <c r="AF53" s="163"/>
      <c r="AG53" s="203"/>
      <c r="AH53" s="681"/>
    </row>
    <row r="54" spans="3:34" s="155" customFormat="1" x14ac:dyDescent="0.25">
      <c r="D54" s="267"/>
      <c r="E54" s="267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9"/>
      <c r="V54" s="159"/>
      <c r="W54" s="203"/>
      <c r="X54" s="159"/>
      <c r="Y54" s="160"/>
      <c r="Z54" s="161"/>
      <c r="AA54" s="159"/>
      <c r="AB54" s="266"/>
      <c r="AC54" s="163"/>
      <c r="AD54" s="163"/>
      <c r="AE54" s="163"/>
      <c r="AF54" s="163"/>
      <c r="AG54" s="203"/>
      <c r="AH54" s="681"/>
    </row>
    <row r="55" spans="3:34" s="155" customFormat="1" x14ac:dyDescent="0.25">
      <c r="D55" s="267"/>
      <c r="E55" s="267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9"/>
      <c r="V55" s="159"/>
      <c r="W55" s="203"/>
      <c r="X55" s="159"/>
      <c r="Y55" s="160"/>
      <c r="Z55" s="161"/>
      <c r="AA55" s="159"/>
      <c r="AB55" s="266"/>
      <c r="AC55" s="163"/>
      <c r="AD55" s="163"/>
      <c r="AE55" s="163"/>
      <c r="AF55" s="163"/>
      <c r="AG55" s="203"/>
      <c r="AH55" s="681"/>
    </row>
    <row r="56" spans="3:34" s="155" customFormat="1" x14ac:dyDescent="0.25">
      <c r="D56" s="267"/>
      <c r="E56" s="267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9"/>
      <c r="V56" s="159"/>
      <c r="W56" s="203"/>
      <c r="X56" s="159"/>
      <c r="Y56" s="160"/>
      <c r="Z56" s="161"/>
      <c r="AA56" s="159"/>
      <c r="AB56" s="266"/>
      <c r="AC56" s="163"/>
      <c r="AD56" s="163"/>
      <c r="AE56" s="163"/>
      <c r="AF56" s="163"/>
      <c r="AG56" s="203"/>
      <c r="AH56" s="681"/>
    </row>
    <row r="57" spans="3:34" s="155" customFormat="1" x14ac:dyDescent="0.25">
      <c r="D57" s="267"/>
      <c r="E57" s="267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9"/>
      <c r="V57" s="159"/>
      <c r="W57" s="203"/>
      <c r="X57" s="159"/>
      <c r="Y57" s="160"/>
      <c r="Z57" s="161"/>
      <c r="AA57" s="159"/>
      <c r="AB57" s="266"/>
      <c r="AC57" s="163"/>
      <c r="AD57" s="163"/>
      <c r="AE57" s="163"/>
      <c r="AF57" s="163"/>
      <c r="AG57" s="203"/>
      <c r="AH57" s="681"/>
    </row>
    <row r="58" spans="3:34" s="155" customFormat="1" x14ac:dyDescent="0.25">
      <c r="D58" s="267"/>
      <c r="E58" s="267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9"/>
      <c r="V58" s="159"/>
      <c r="W58" s="203"/>
      <c r="X58" s="159"/>
      <c r="Y58" s="160"/>
      <c r="Z58" s="161"/>
      <c r="AA58" s="159"/>
      <c r="AB58" s="266"/>
      <c r="AC58" s="163"/>
      <c r="AD58" s="163"/>
      <c r="AE58" s="163"/>
      <c r="AF58" s="163"/>
      <c r="AG58" s="203"/>
      <c r="AH58" s="681"/>
    </row>
    <row r="59" spans="3:34" s="155" customFormat="1" x14ac:dyDescent="0.25">
      <c r="D59" s="267"/>
      <c r="E59" s="267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9"/>
      <c r="V59" s="159"/>
      <c r="W59" s="203"/>
      <c r="X59" s="159"/>
      <c r="Y59" s="160"/>
      <c r="Z59" s="161"/>
      <c r="AA59" s="159"/>
      <c r="AB59" s="266"/>
      <c r="AC59" s="163"/>
      <c r="AD59" s="163"/>
      <c r="AE59" s="163"/>
      <c r="AF59" s="163"/>
      <c r="AG59" s="203"/>
      <c r="AH59" s="681"/>
    </row>
    <row r="60" spans="3:34" s="155" customFormat="1" x14ac:dyDescent="0.25">
      <c r="D60" s="267"/>
      <c r="E60" s="267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9"/>
      <c r="V60" s="159"/>
      <c r="W60" s="203"/>
      <c r="X60" s="159"/>
      <c r="Y60" s="160"/>
      <c r="Z60" s="161"/>
      <c r="AA60" s="159"/>
      <c r="AB60" s="266"/>
      <c r="AC60" s="163"/>
      <c r="AD60" s="163"/>
      <c r="AE60" s="163"/>
      <c r="AF60" s="163"/>
      <c r="AG60" s="203"/>
      <c r="AH60" s="681"/>
    </row>
    <row r="61" spans="3:34" s="155" customFormat="1" x14ac:dyDescent="0.25">
      <c r="D61" s="267"/>
      <c r="E61" s="267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9"/>
      <c r="V61" s="159"/>
      <c r="W61" s="203"/>
      <c r="X61" s="159"/>
      <c r="Y61" s="160"/>
      <c r="Z61" s="161"/>
      <c r="AA61" s="159"/>
      <c r="AB61" s="266"/>
      <c r="AC61" s="163"/>
      <c r="AD61" s="163"/>
      <c r="AE61" s="163"/>
      <c r="AF61" s="163"/>
      <c r="AG61" s="203"/>
      <c r="AH61" s="681"/>
    </row>
    <row r="62" spans="3:34" s="155" customFormat="1" x14ac:dyDescent="0.25">
      <c r="D62" s="267"/>
      <c r="E62" s="267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9"/>
      <c r="V62" s="159"/>
      <c r="W62" s="203"/>
      <c r="X62" s="159"/>
      <c r="Y62" s="160"/>
      <c r="Z62" s="161"/>
      <c r="AA62" s="159"/>
      <c r="AB62" s="266"/>
      <c r="AC62" s="163"/>
      <c r="AD62" s="163"/>
      <c r="AE62" s="163"/>
      <c r="AF62" s="163"/>
      <c r="AG62" s="203"/>
      <c r="AH62" s="681"/>
    </row>
    <row r="63" spans="3:34" s="155" customFormat="1" x14ac:dyDescent="0.25">
      <c r="D63" s="267"/>
      <c r="E63" s="267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9"/>
      <c r="V63" s="159"/>
      <c r="W63" s="203"/>
      <c r="X63" s="159"/>
      <c r="Y63" s="160"/>
      <c r="Z63" s="161"/>
      <c r="AA63" s="159"/>
      <c r="AB63" s="266"/>
      <c r="AC63" s="163"/>
      <c r="AD63" s="163"/>
      <c r="AE63" s="163"/>
      <c r="AF63" s="163"/>
      <c r="AG63" s="203"/>
      <c r="AH63" s="681"/>
    </row>
    <row r="64" spans="3:34" s="155" customFormat="1" x14ac:dyDescent="0.25">
      <c r="D64" s="267"/>
      <c r="E64" s="267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9"/>
      <c r="V64" s="159"/>
      <c r="W64" s="203"/>
      <c r="X64" s="159"/>
      <c r="Y64" s="160"/>
      <c r="Z64" s="161"/>
      <c r="AA64" s="159"/>
      <c r="AB64" s="266"/>
      <c r="AC64" s="163"/>
      <c r="AD64" s="163"/>
      <c r="AE64" s="163"/>
      <c r="AF64" s="163"/>
      <c r="AG64" s="203"/>
      <c r="AH64" s="681"/>
    </row>
    <row r="65" spans="7:20" s="155" customFormat="1" ht="15" x14ac:dyDescent="0.25"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</row>
    <row r="66" spans="7:20" s="155" customFormat="1" ht="15" x14ac:dyDescent="0.25"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</row>
    <row r="67" spans="7:20" s="155" customFormat="1" ht="15" x14ac:dyDescent="0.25"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7:20" s="155" customFormat="1" ht="15" x14ac:dyDescent="0.25"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</row>
    <row r="69" spans="7:20" s="155" customFormat="1" ht="15" x14ac:dyDescent="0.25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</row>
    <row r="70" spans="7:20" s="155" customFormat="1" ht="15" x14ac:dyDescent="0.25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</row>
    <row r="71" spans="7:20" s="155" customFormat="1" ht="15" x14ac:dyDescent="0.25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</row>
    <row r="72" spans="7:20" s="155" customFormat="1" ht="15" x14ac:dyDescent="0.25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</row>
    <row r="73" spans="7:20" s="155" customFormat="1" ht="15" x14ac:dyDescent="0.25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</row>
    <row r="74" spans="7:20" s="155" customFormat="1" ht="15" x14ac:dyDescent="0.25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</row>
    <row r="75" spans="7:20" s="155" customFormat="1" ht="15" x14ac:dyDescent="0.25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</row>
    <row r="76" spans="7:20" s="155" customFormat="1" ht="15" x14ac:dyDescent="0.25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</row>
    <row r="77" spans="7:20" s="155" customFormat="1" ht="15" x14ac:dyDescent="0.25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  <row r="78" spans="7:20" s="155" customFormat="1" ht="15" x14ac:dyDescent="0.25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</row>
    <row r="79" spans="7:20" s="155" customFormat="1" ht="15" x14ac:dyDescent="0.25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</row>
    <row r="80" spans="7:20" s="155" customFormat="1" ht="15" x14ac:dyDescent="0.25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</row>
    <row r="81" spans="7:20" s="155" customFormat="1" ht="15" x14ac:dyDescent="0.25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</row>
    <row r="82" spans="7:20" s="155" customFormat="1" ht="15" x14ac:dyDescent="0.25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</row>
    <row r="83" spans="7:20" s="155" customFormat="1" ht="15" x14ac:dyDescent="0.25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</row>
    <row r="84" spans="7:20" s="155" customFormat="1" ht="15" x14ac:dyDescent="0.25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</row>
    <row r="85" spans="7:20" s="155" customFormat="1" ht="15" x14ac:dyDescent="0.25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</row>
    <row r="86" spans="7:20" s="155" customFormat="1" ht="15" x14ac:dyDescent="0.25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</row>
    <row r="87" spans="7:20" s="155" customFormat="1" ht="15" x14ac:dyDescent="0.25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</row>
    <row r="88" spans="7:20" s="155" customFormat="1" ht="15" x14ac:dyDescent="0.25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</row>
    <row r="89" spans="7:20" s="155" customFormat="1" ht="15" x14ac:dyDescent="0.25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</row>
    <row r="90" spans="7:20" s="155" customFormat="1" ht="15" x14ac:dyDescent="0.25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</row>
    <row r="91" spans="7:20" s="155" customFormat="1" ht="15" x14ac:dyDescent="0.25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</row>
    <row r="92" spans="7:20" s="155" customFormat="1" ht="15" x14ac:dyDescent="0.25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</row>
    <row r="93" spans="7:20" s="155" customFormat="1" ht="15" x14ac:dyDescent="0.25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</row>
    <row r="94" spans="7:20" s="155" customFormat="1" ht="15" x14ac:dyDescent="0.25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</row>
    <row r="95" spans="7:20" s="155" customFormat="1" ht="15" x14ac:dyDescent="0.25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</row>
    <row r="96" spans="7:20" s="155" customFormat="1" ht="15" x14ac:dyDescent="0.25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</row>
    <row r="97" spans="7:20" s="155" customFormat="1" ht="15" x14ac:dyDescent="0.25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</row>
    <row r="98" spans="7:20" s="155" customFormat="1" ht="15" x14ac:dyDescent="0.25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</row>
    <row r="99" spans="7:20" s="155" customFormat="1" ht="15" x14ac:dyDescent="0.25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</row>
    <row r="100" spans="7:20" s="155" customFormat="1" ht="15" x14ac:dyDescent="0.25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</row>
    <row r="101" spans="7:20" s="155" customFormat="1" ht="15" x14ac:dyDescent="0.25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</row>
    <row r="102" spans="7:20" s="155" customFormat="1" ht="15" x14ac:dyDescent="0.25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</row>
    <row r="103" spans="7:20" s="155" customFormat="1" ht="15" x14ac:dyDescent="0.25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</row>
    <row r="104" spans="7:20" s="155" customFormat="1" ht="15" x14ac:dyDescent="0.25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</row>
    <row r="105" spans="7:20" s="155" customFormat="1" ht="15" x14ac:dyDescent="0.25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</row>
    <row r="106" spans="7:20" s="155" customFormat="1" ht="15" x14ac:dyDescent="0.25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</row>
    <row r="107" spans="7:20" s="155" customFormat="1" ht="15" x14ac:dyDescent="0.25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</row>
    <row r="108" spans="7:20" s="155" customFormat="1" ht="15" x14ac:dyDescent="0.25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</row>
    <row r="109" spans="7:20" s="155" customFormat="1" ht="15" x14ac:dyDescent="0.25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</row>
    <row r="110" spans="7:20" s="155" customFormat="1" ht="15" x14ac:dyDescent="0.25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</row>
    <row r="111" spans="7:20" s="155" customFormat="1" ht="15" x14ac:dyDescent="0.25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</row>
    <row r="112" spans="7:20" s="155" customFormat="1" ht="15" x14ac:dyDescent="0.25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</row>
    <row r="113" spans="7:20" s="155" customFormat="1" ht="15" x14ac:dyDescent="0.25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</row>
    <row r="114" spans="7:20" s="155" customFormat="1" ht="15" x14ac:dyDescent="0.25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</row>
    <row r="115" spans="7:20" s="155" customFormat="1" ht="15" x14ac:dyDescent="0.25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</row>
    <row r="116" spans="7:20" s="155" customFormat="1" ht="15" x14ac:dyDescent="0.25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</row>
    <row r="117" spans="7:20" s="155" customFormat="1" ht="15" x14ac:dyDescent="0.25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</row>
    <row r="118" spans="7:20" s="155" customFormat="1" ht="15" x14ac:dyDescent="0.25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</row>
    <row r="119" spans="7:20" s="155" customFormat="1" ht="15" x14ac:dyDescent="0.25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</row>
    <row r="120" spans="7:20" s="155" customFormat="1" ht="15" x14ac:dyDescent="0.25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</row>
    <row r="121" spans="7:20" s="155" customFormat="1" ht="15" x14ac:dyDescent="0.25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</row>
    <row r="122" spans="7:20" s="155" customFormat="1" ht="15" x14ac:dyDescent="0.25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</row>
    <row r="123" spans="7:20" s="155" customFormat="1" ht="15" x14ac:dyDescent="0.25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</row>
    <row r="124" spans="7:20" s="155" customFormat="1" ht="15" x14ac:dyDescent="0.25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</row>
    <row r="125" spans="7:20" s="155" customFormat="1" ht="15" x14ac:dyDescent="0.25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</row>
    <row r="126" spans="7:20" s="155" customFormat="1" ht="15" x14ac:dyDescent="0.25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</row>
    <row r="127" spans="7:20" s="155" customFormat="1" ht="15" x14ac:dyDescent="0.25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</row>
    <row r="128" spans="7:20" s="155" customFormat="1" ht="15" x14ac:dyDescent="0.25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</row>
    <row r="129" spans="7:20" s="155" customFormat="1" ht="15" x14ac:dyDescent="0.25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</row>
    <row r="130" spans="7:20" s="155" customFormat="1" ht="15" x14ac:dyDescent="0.25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</row>
    <row r="131" spans="7:20" s="155" customFormat="1" ht="15" x14ac:dyDescent="0.25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</row>
    <row r="132" spans="7:20" s="155" customFormat="1" ht="15" x14ac:dyDescent="0.25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</row>
    <row r="133" spans="7:20" s="155" customFormat="1" ht="15" x14ac:dyDescent="0.25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</row>
    <row r="134" spans="7:20" s="155" customFormat="1" ht="15" x14ac:dyDescent="0.25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</row>
    <row r="135" spans="7:20" s="155" customFormat="1" ht="15" x14ac:dyDescent="0.25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</row>
    <row r="136" spans="7:20" s="155" customFormat="1" ht="15" x14ac:dyDescent="0.25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</row>
    <row r="137" spans="7:20" s="155" customFormat="1" ht="15" x14ac:dyDescent="0.25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</row>
    <row r="138" spans="7:20" s="155" customFormat="1" ht="15" x14ac:dyDescent="0.25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</row>
    <row r="139" spans="7:20" s="155" customFormat="1" ht="15" x14ac:dyDescent="0.25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</row>
    <row r="140" spans="7:20" s="155" customFormat="1" ht="15" x14ac:dyDescent="0.25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</row>
    <row r="141" spans="7:20" s="155" customFormat="1" ht="15" x14ac:dyDescent="0.25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</row>
    <row r="142" spans="7:20" s="155" customFormat="1" ht="15" x14ac:dyDescent="0.25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</row>
    <row r="143" spans="7:20" s="155" customFormat="1" ht="15" x14ac:dyDescent="0.25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</row>
    <row r="144" spans="7:20" s="155" customFormat="1" ht="15" x14ac:dyDescent="0.25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</row>
    <row r="145" spans="7:20" s="155" customFormat="1" ht="15" x14ac:dyDescent="0.25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</row>
    <row r="146" spans="7:20" s="155" customFormat="1" ht="15" x14ac:dyDescent="0.25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</row>
    <row r="147" spans="7:20" s="155" customFormat="1" ht="15" x14ac:dyDescent="0.25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</row>
    <row r="148" spans="7:20" s="155" customFormat="1" ht="15" x14ac:dyDescent="0.25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</row>
    <row r="149" spans="7:20" s="155" customFormat="1" ht="15" x14ac:dyDescent="0.25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</row>
    <row r="150" spans="7:20" s="155" customFormat="1" ht="15" x14ac:dyDescent="0.25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</row>
    <row r="151" spans="7:20" s="155" customFormat="1" ht="15" x14ac:dyDescent="0.25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</row>
    <row r="152" spans="7:20" s="155" customFormat="1" ht="15" x14ac:dyDescent="0.25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</row>
    <row r="153" spans="7:20" s="155" customFormat="1" ht="15" x14ac:dyDescent="0.25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</row>
    <row r="154" spans="7:20" s="155" customFormat="1" ht="15" x14ac:dyDescent="0.25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</row>
    <row r="155" spans="7:20" s="155" customFormat="1" ht="15" x14ac:dyDescent="0.25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</row>
    <row r="156" spans="7:20" s="155" customFormat="1" ht="15" x14ac:dyDescent="0.25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</row>
    <row r="157" spans="7:20" s="155" customFormat="1" ht="15" x14ac:dyDescent="0.25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</row>
    <row r="158" spans="7:20" s="155" customFormat="1" ht="15" x14ac:dyDescent="0.25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</row>
    <row r="159" spans="7:20" s="155" customFormat="1" ht="15" x14ac:dyDescent="0.25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</row>
    <row r="160" spans="7:20" s="155" customFormat="1" ht="15" x14ac:dyDescent="0.25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</row>
    <row r="161" spans="7:20" s="155" customFormat="1" ht="15" x14ac:dyDescent="0.25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</row>
    <row r="162" spans="7:20" s="155" customFormat="1" ht="15" x14ac:dyDescent="0.25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</row>
    <row r="163" spans="7:20" s="155" customFormat="1" ht="15" x14ac:dyDescent="0.25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</row>
    <row r="164" spans="7:20" s="155" customFormat="1" ht="15" x14ac:dyDescent="0.25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</row>
    <row r="165" spans="7:20" s="155" customFormat="1" ht="15" x14ac:dyDescent="0.25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</row>
    <row r="166" spans="7:20" s="155" customFormat="1" ht="15" x14ac:dyDescent="0.25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</row>
    <row r="167" spans="7:20" s="155" customFormat="1" ht="15" x14ac:dyDescent="0.25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</row>
    <row r="168" spans="7:20" s="155" customFormat="1" ht="15" x14ac:dyDescent="0.25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</row>
    <row r="169" spans="7:20" s="155" customFormat="1" ht="15" x14ac:dyDescent="0.25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</row>
    <row r="170" spans="7:20" s="155" customFormat="1" ht="15" x14ac:dyDescent="0.25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</row>
    <row r="171" spans="7:20" s="155" customFormat="1" ht="15" x14ac:dyDescent="0.25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</row>
    <row r="172" spans="7:20" s="155" customFormat="1" ht="15" x14ac:dyDescent="0.25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</row>
    <row r="173" spans="7:20" s="155" customFormat="1" ht="15" x14ac:dyDescent="0.25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</row>
    <row r="174" spans="7:20" s="155" customFormat="1" ht="15" x14ac:dyDescent="0.25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</row>
    <row r="175" spans="7:20" s="155" customFormat="1" ht="15" x14ac:dyDescent="0.25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</row>
    <row r="176" spans="7:20" s="155" customFormat="1" ht="15" x14ac:dyDescent="0.25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</row>
    <row r="177" spans="7:20" s="155" customFormat="1" ht="15" x14ac:dyDescent="0.25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</row>
    <row r="178" spans="7:20" s="155" customFormat="1" ht="15" x14ac:dyDescent="0.25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</row>
    <row r="179" spans="7:20" s="155" customFormat="1" ht="15" x14ac:dyDescent="0.25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</row>
    <row r="180" spans="7:20" s="155" customFormat="1" ht="15" x14ac:dyDescent="0.25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</row>
    <row r="181" spans="7:20" s="155" customFormat="1" ht="15" x14ac:dyDescent="0.25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</row>
    <row r="182" spans="7:20" s="155" customFormat="1" ht="15" x14ac:dyDescent="0.25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</row>
    <row r="183" spans="7:20" s="155" customFormat="1" ht="15" x14ac:dyDescent="0.25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</row>
    <row r="184" spans="7:20" s="155" customFormat="1" ht="15" x14ac:dyDescent="0.25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</row>
    <row r="185" spans="7:20" s="155" customFormat="1" ht="15" x14ac:dyDescent="0.25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</row>
    <row r="186" spans="7:20" s="155" customFormat="1" ht="15" x14ac:dyDescent="0.25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</row>
    <row r="187" spans="7:20" s="155" customFormat="1" ht="15" x14ac:dyDescent="0.25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</row>
    <row r="188" spans="7:20" s="155" customFormat="1" ht="15" x14ac:dyDescent="0.25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</row>
    <row r="189" spans="7:20" s="155" customFormat="1" ht="15" x14ac:dyDescent="0.25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</row>
    <row r="190" spans="7:20" s="155" customFormat="1" ht="15" x14ac:dyDescent="0.25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</row>
    <row r="191" spans="7:20" s="155" customFormat="1" ht="15" x14ac:dyDescent="0.25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</row>
    <row r="192" spans="7:20" s="155" customFormat="1" ht="15" x14ac:dyDescent="0.25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</row>
    <row r="193" spans="7:20" s="155" customFormat="1" ht="15" x14ac:dyDescent="0.25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</row>
    <row r="194" spans="7:20" s="155" customFormat="1" ht="15" x14ac:dyDescent="0.25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</row>
    <row r="195" spans="7:20" s="155" customFormat="1" ht="15" x14ac:dyDescent="0.25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</row>
    <row r="196" spans="7:20" s="155" customFormat="1" ht="15" x14ac:dyDescent="0.25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</row>
    <row r="197" spans="7:20" s="155" customFormat="1" ht="15" x14ac:dyDescent="0.25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</row>
    <row r="198" spans="7:20" s="155" customFormat="1" ht="15" x14ac:dyDescent="0.25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</row>
    <row r="199" spans="7:20" s="155" customFormat="1" ht="15" x14ac:dyDescent="0.25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</row>
    <row r="200" spans="7:20" s="155" customFormat="1" ht="15" x14ac:dyDescent="0.25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</row>
    <row r="201" spans="7:20" s="155" customFormat="1" ht="15" x14ac:dyDescent="0.25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</row>
    <row r="202" spans="7:20" s="155" customFormat="1" ht="15" x14ac:dyDescent="0.25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</row>
    <row r="203" spans="7:20" s="155" customFormat="1" ht="15" x14ac:dyDescent="0.25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</row>
    <row r="204" spans="7:20" s="155" customFormat="1" ht="15" x14ac:dyDescent="0.25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</row>
    <row r="205" spans="7:20" s="155" customFormat="1" ht="15" x14ac:dyDescent="0.25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</row>
    <row r="206" spans="7:20" s="155" customFormat="1" ht="15" x14ac:dyDescent="0.25"/>
    <row r="207" spans="7:20" s="155" customFormat="1" ht="15" x14ac:dyDescent="0.25"/>
    <row r="208" spans="7:20" s="155" customFormat="1" ht="15" x14ac:dyDescent="0.25"/>
    <row r="209" s="155" customFormat="1" ht="15" x14ac:dyDescent="0.25"/>
    <row r="210" s="155" customFormat="1" ht="15" x14ac:dyDescent="0.25"/>
  </sheetData>
  <mergeCells count="6">
    <mergeCell ref="AF2:AH2"/>
    <mergeCell ref="C47:C49"/>
    <mergeCell ref="B2:E2"/>
    <mergeCell ref="G2:I2"/>
    <mergeCell ref="J2:R2"/>
    <mergeCell ref="U2:U3"/>
  </mergeCells>
  <conditionalFormatting sqref="J5:R5">
    <cfRule type="expression" dxfId="4" priority="1">
      <formula>"&lt;0"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13"/>
  <sheetViews>
    <sheetView zoomScale="80" zoomScaleNormal="80" zoomScalePageLayoutView="80" workbookViewId="0">
      <selection activeCell="G7" sqref="G7"/>
    </sheetView>
  </sheetViews>
  <sheetFormatPr baseColWidth="10" defaultColWidth="9.1640625" defaultRowHeight="19" x14ac:dyDescent="0.25"/>
  <cols>
    <col min="1" max="1" width="1.33203125" style="155" customWidth="1"/>
    <col min="2" max="2" width="11.83203125" style="155" customWidth="1"/>
    <col min="3" max="3" width="19.6640625" style="155" customWidth="1"/>
    <col min="4" max="4" width="51.5" style="267" customWidth="1"/>
    <col min="5" max="5" width="31.33203125" style="267" customWidth="1"/>
    <col min="6" max="18" width="12.83203125" style="155" customWidth="1"/>
    <col min="19" max="19" width="13.83203125" style="155" customWidth="1"/>
    <col min="20" max="20" width="15.1640625" style="155" customWidth="1"/>
    <col min="21" max="21" width="10.5" style="269" customWidth="1"/>
    <col min="22" max="22" width="1.33203125" style="159" customWidth="1"/>
    <col min="23" max="23" width="20.1640625" style="203" customWidth="1"/>
    <col min="24" max="24" width="15.33203125" style="159" customWidth="1"/>
    <col min="25" max="25" width="13.5" style="160" bestFit="1" customWidth="1"/>
    <col min="26" max="26" width="9.1640625" style="161"/>
    <col min="27" max="27" width="2.5" style="159" customWidth="1"/>
    <col min="28" max="28" width="9.83203125" style="266" customWidth="1"/>
    <col min="29" max="29" width="30.83203125" style="163" customWidth="1"/>
    <col min="30" max="30" width="1.6640625" style="163" customWidth="1"/>
    <col min="31" max="37" width="9.1640625" style="159"/>
    <col min="38" max="16384" width="9.1640625" style="155"/>
  </cols>
  <sheetData>
    <row r="1" spans="2:37" ht="9.75" customHeight="1" thickBot="1" x14ac:dyDescent="0.3"/>
    <row r="2" spans="2:37" s="269" customFormat="1" ht="19.5" customHeight="1" thickTop="1" x14ac:dyDescent="0.25">
      <c r="B2" s="1214" t="s">
        <v>297</v>
      </c>
      <c r="C2" s="1215"/>
      <c r="D2" s="1215"/>
      <c r="E2" s="1216"/>
      <c r="F2" s="495"/>
      <c r="G2" s="1217" t="s">
        <v>174</v>
      </c>
      <c r="H2" s="1218"/>
      <c r="I2" s="1219"/>
      <c r="J2" s="1220" t="s">
        <v>175</v>
      </c>
      <c r="K2" s="1221"/>
      <c r="L2" s="1221"/>
      <c r="M2" s="1221"/>
      <c r="N2" s="1221"/>
      <c r="O2" s="1221"/>
      <c r="P2" s="1221"/>
      <c r="Q2" s="1221"/>
      <c r="R2" s="1221"/>
      <c r="S2" s="496"/>
      <c r="T2" s="802"/>
      <c r="U2" s="497"/>
      <c r="V2" s="180"/>
      <c r="W2" s="273"/>
      <c r="X2" s="180"/>
      <c r="Y2" s="404"/>
      <c r="Z2" s="161"/>
      <c r="AA2" s="180"/>
      <c r="AB2" s="727"/>
      <c r="AC2" s="182"/>
      <c r="AD2" s="182"/>
      <c r="AE2" s="180"/>
      <c r="AF2" s="180"/>
      <c r="AG2" s="180"/>
      <c r="AH2" s="180"/>
      <c r="AI2" s="180"/>
      <c r="AJ2" s="180"/>
      <c r="AK2" s="180"/>
    </row>
    <row r="3" spans="2:37" s="286" customFormat="1" ht="52.5" customHeight="1" thickBot="1" x14ac:dyDescent="0.25">
      <c r="B3" s="498" t="s">
        <v>73</v>
      </c>
      <c r="C3" s="275" t="s">
        <v>74</v>
      </c>
      <c r="D3" s="276" t="s">
        <v>75</v>
      </c>
      <c r="E3" s="277" t="s">
        <v>76</v>
      </c>
      <c r="F3" s="278" t="s">
        <v>77</v>
      </c>
      <c r="G3" s="279" t="s">
        <v>78</v>
      </c>
      <c r="H3" s="275" t="s">
        <v>79</v>
      </c>
      <c r="I3" s="278" t="s">
        <v>80</v>
      </c>
      <c r="J3" s="279" t="s">
        <v>81</v>
      </c>
      <c r="K3" s="275" t="s">
        <v>82</v>
      </c>
      <c r="L3" s="275" t="s">
        <v>83</v>
      </c>
      <c r="M3" s="275" t="s">
        <v>84</v>
      </c>
      <c r="N3" s="275" t="s">
        <v>85</v>
      </c>
      <c r="O3" s="277" t="s">
        <v>127</v>
      </c>
      <c r="P3" s="277"/>
      <c r="Q3" s="277" t="s">
        <v>128</v>
      </c>
      <c r="R3" s="277" t="s">
        <v>80</v>
      </c>
      <c r="S3" s="280" t="s">
        <v>86</v>
      </c>
      <c r="T3" s="281" t="s">
        <v>87</v>
      </c>
      <c r="U3" s="728" t="s">
        <v>129</v>
      </c>
      <c r="V3" s="282"/>
      <c r="W3" s="283"/>
      <c r="X3" s="282"/>
      <c r="Y3" s="407"/>
      <c r="Z3" s="408"/>
      <c r="AA3" s="282"/>
      <c r="AB3" s="729"/>
      <c r="AC3" s="729"/>
      <c r="AD3" s="285"/>
      <c r="AE3" s="282"/>
      <c r="AF3" s="282"/>
      <c r="AG3" s="282"/>
      <c r="AH3" s="282"/>
      <c r="AI3" s="282"/>
      <c r="AJ3" s="282"/>
      <c r="AK3" s="282"/>
    </row>
    <row r="4" spans="2:37" s="180" customFormat="1" thickTop="1" x14ac:dyDescent="0.25">
      <c r="B4" s="500"/>
      <c r="C4" s="288"/>
      <c r="D4" s="288" t="s">
        <v>3</v>
      </c>
      <c r="E4" s="289"/>
      <c r="F4" s="290"/>
      <c r="G4" s="291">
        <v>2063</v>
      </c>
      <c r="H4" s="292">
        <v>0</v>
      </c>
      <c r="I4" s="293">
        <v>15</v>
      </c>
      <c r="J4" s="291">
        <v>125</v>
      </c>
      <c r="K4" s="292">
        <v>515</v>
      </c>
      <c r="L4" s="292">
        <v>282</v>
      </c>
      <c r="M4" s="292">
        <v>125</v>
      </c>
      <c r="N4" s="292">
        <v>432</v>
      </c>
      <c r="O4" s="294">
        <v>125</v>
      </c>
      <c r="P4" s="294"/>
      <c r="Q4" s="294">
        <v>16</v>
      </c>
      <c r="R4" s="294">
        <v>0</v>
      </c>
      <c r="S4" s="295">
        <f>SUM(J4:R4)</f>
        <v>1620</v>
      </c>
      <c r="T4" s="730">
        <v>274.72000000000003</v>
      </c>
      <c r="U4" s="731"/>
      <c r="W4" s="273"/>
      <c r="Y4" s="160"/>
      <c r="Z4" s="161"/>
      <c r="AD4" s="171"/>
    </row>
    <row r="5" spans="2:37" s="180" customFormat="1" ht="20" thickBot="1" x14ac:dyDescent="0.3">
      <c r="B5" s="506"/>
      <c r="C5" s="299"/>
      <c r="D5" s="299" t="s">
        <v>130</v>
      </c>
      <c r="E5" s="300"/>
      <c r="F5" s="301"/>
      <c r="G5" s="305">
        <f t="shared" ref="G5:R5" si="0">G4-G40</f>
        <v>0</v>
      </c>
      <c r="H5" s="305">
        <f t="shared" si="0"/>
        <v>0</v>
      </c>
      <c r="I5" s="305">
        <f t="shared" si="0"/>
        <v>-0.92999999999999972</v>
      </c>
      <c r="J5" s="305">
        <f t="shared" si="0"/>
        <v>-25</v>
      </c>
      <c r="K5" s="305">
        <f t="shared" si="0"/>
        <v>9.3199999999999932</v>
      </c>
      <c r="L5" s="305">
        <f t="shared" si="0"/>
        <v>-26.910000000000025</v>
      </c>
      <c r="M5" s="305">
        <f t="shared" si="0"/>
        <v>62</v>
      </c>
      <c r="N5" s="305">
        <f t="shared" si="0"/>
        <v>60.870000000000005</v>
      </c>
      <c r="O5" s="305">
        <f t="shared" si="0"/>
        <v>0</v>
      </c>
      <c r="P5" s="305">
        <f t="shared" si="0"/>
        <v>0</v>
      </c>
      <c r="Q5" s="305">
        <f t="shared" si="0"/>
        <v>-4</v>
      </c>
      <c r="R5" s="306">
        <f t="shared" si="0"/>
        <v>-12.6</v>
      </c>
      <c r="S5" s="307">
        <f>SUM(J5:R5)</f>
        <v>63.679999999999971</v>
      </c>
      <c r="T5" s="308"/>
      <c r="U5" s="732"/>
      <c r="W5" s="273"/>
      <c r="Y5" s="160"/>
      <c r="Z5" s="161"/>
      <c r="AB5" s="181"/>
      <c r="AC5" s="182"/>
      <c r="AD5" s="182"/>
    </row>
    <row r="6" spans="2:37" s="180" customFormat="1" x14ac:dyDescent="0.25">
      <c r="B6" s="733">
        <v>41383</v>
      </c>
      <c r="C6" s="734" t="s">
        <v>163</v>
      </c>
      <c r="D6" s="735" t="s">
        <v>298</v>
      </c>
      <c r="E6" s="736"/>
      <c r="F6" s="737"/>
      <c r="G6" s="738"/>
      <c r="H6" s="739"/>
      <c r="I6" s="740">
        <v>15.93</v>
      </c>
      <c r="J6" s="738"/>
      <c r="K6" s="739"/>
      <c r="L6" s="739"/>
      <c r="M6" s="741"/>
      <c r="N6" s="741"/>
      <c r="O6" s="742"/>
      <c r="P6" s="742"/>
      <c r="Q6" s="742"/>
      <c r="R6" s="742"/>
      <c r="S6" s="743">
        <f t="shared" ref="S6:S8" si="1">SUM(J6:R6)</f>
        <v>0</v>
      </c>
      <c r="T6" s="322">
        <f>T4+SUM(G6:I6)-S6</f>
        <v>290.65000000000003</v>
      </c>
      <c r="U6" s="744" t="s">
        <v>23</v>
      </c>
      <c r="W6" s="745"/>
      <c r="Y6" s="160"/>
      <c r="Z6" s="161"/>
      <c r="AB6" s="181"/>
      <c r="AC6" s="182"/>
      <c r="AD6" s="182"/>
    </row>
    <row r="7" spans="2:37" s="180" customFormat="1" x14ac:dyDescent="0.25">
      <c r="B7" s="746">
        <v>41394</v>
      </c>
      <c r="C7" s="747" t="s">
        <v>140</v>
      </c>
      <c r="D7" s="748" t="s">
        <v>299</v>
      </c>
      <c r="E7" s="749"/>
      <c r="F7" s="750"/>
      <c r="G7" s="751">
        <f>950+163</f>
        <v>1113</v>
      </c>
      <c r="H7" s="752"/>
      <c r="I7" s="753"/>
      <c r="J7" s="751"/>
      <c r="K7" s="752"/>
      <c r="L7" s="752"/>
      <c r="M7" s="754"/>
      <c r="N7" s="754"/>
      <c r="O7" s="755"/>
      <c r="P7" s="755"/>
      <c r="Q7" s="755"/>
      <c r="R7" s="755"/>
      <c r="S7" s="373">
        <f t="shared" si="1"/>
        <v>0</v>
      </c>
      <c r="T7" s="332">
        <f t="shared" ref="T7" si="2">T6+SUM(G7:I7)-S7</f>
        <v>1403.65</v>
      </c>
      <c r="U7" s="756" t="s">
        <v>23</v>
      </c>
      <c r="W7" s="745"/>
      <c r="Y7" s="160"/>
      <c r="Z7" s="161"/>
      <c r="AB7" s="181"/>
      <c r="AC7" s="203"/>
      <c r="AD7" s="182"/>
    </row>
    <row r="8" spans="2:37" s="180" customFormat="1" x14ac:dyDescent="0.25">
      <c r="B8" s="696">
        <v>41407</v>
      </c>
      <c r="C8" s="215" t="s">
        <v>114</v>
      </c>
      <c r="D8" s="216" t="s">
        <v>300</v>
      </c>
      <c r="E8" s="325" t="s">
        <v>301</v>
      </c>
      <c r="F8" s="354">
        <v>100396</v>
      </c>
      <c r="G8" s="329"/>
      <c r="H8" s="221"/>
      <c r="I8" s="328"/>
      <c r="J8" s="329"/>
      <c r="K8" s="221"/>
      <c r="L8" s="221"/>
      <c r="M8" s="221"/>
      <c r="N8" s="221">
        <v>117</v>
      </c>
      <c r="O8" s="330"/>
      <c r="P8" s="330"/>
      <c r="Q8" s="330"/>
      <c r="R8" s="330"/>
      <c r="S8" s="373">
        <f t="shared" si="1"/>
        <v>117</v>
      </c>
      <c r="T8" s="332">
        <f>T7+SUM(G8:I8)-S8</f>
        <v>1286.6500000000001</v>
      </c>
      <c r="U8" s="757" t="s">
        <v>23</v>
      </c>
      <c r="W8" s="745"/>
      <c r="Y8" s="160"/>
      <c r="Z8" s="161"/>
      <c r="AB8" s="181"/>
      <c r="AC8" s="203"/>
      <c r="AD8" s="182"/>
    </row>
    <row r="9" spans="2:37" s="180" customFormat="1" x14ac:dyDescent="0.25">
      <c r="B9" s="696">
        <v>41424</v>
      </c>
      <c r="C9" s="225" t="s">
        <v>146</v>
      </c>
      <c r="D9" s="226" t="s">
        <v>302</v>
      </c>
      <c r="E9" s="325" t="s">
        <v>303</v>
      </c>
      <c r="F9" s="354">
        <v>100397</v>
      </c>
      <c r="G9" s="329"/>
      <c r="H9" s="221"/>
      <c r="I9" s="328"/>
      <c r="J9" s="329"/>
      <c r="K9" s="221"/>
      <c r="L9" s="221"/>
      <c r="M9" s="221"/>
      <c r="N9" s="221"/>
      <c r="O9" s="330">
        <v>125</v>
      </c>
      <c r="P9" s="330"/>
      <c r="Q9" s="330"/>
      <c r="R9" s="330"/>
      <c r="S9" s="373">
        <f t="shared" ref="S9:S38" si="3">SUM(J9:R9)</f>
        <v>125</v>
      </c>
      <c r="T9" s="332">
        <f t="shared" ref="T9:T38" si="4">T8+SUM(G9:I9)-S9</f>
        <v>1161.6500000000001</v>
      </c>
      <c r="U9" s="757" t="s">
        <v>23</v>
      </c>
      <c r="W9" s="745"/>
      <c r="Y9" s="160"/>
      <c r="Z9" s="161"/>
      <c r="AB9" s="181"/>
      <c r="AC9" s="203"/>
      <c r="AD9" s="182"/>
    </row>
    <row r="10" spans="2:37" s="180" customFormat="1" x14ac:dyDescent="0.25">
      <c r="B10" s="696">
        <v>41424</v>
      </c>
      <c r="C10" s="215" t="s">
        <v>272</v>
      </c>
      <c r="D10" s="227" t="s">
        <v>244</v>
      </c>
      <c r="E10" s="325" t="s">
        <v>303</v>
      </c>
      <c r="F10" s="354">
        <v>100398</v>
      </c>
      <c r="G10" s="329"/>
      <c r="H10" s="221"/>
      <c r="I10" s="328"/>
      <c r="J10" s="329">
        <v>75</v>
      </c>
      <c r="K10" s="221"/>
      <c r="L10" s="221"/>
      <c r="M10" s="221"/>
      <c r="N10" s="221"/>
      <c r="O10" s="330"/>
      <c r="P10" s="330"/>
      <c r="Q10" s="330"/>
      <c r="R10" s="330"/>
      <c r="S10" s="373">
        <f t="shared" si="3"/>
        <v>75</v>
      </c>
      <c r="T10" s="332">
        <f t="shared" si="4"/>
        <v>1086.6500000000001</v>
      </c>
      <c r="U10" s="757" t="s">
        <v>23</v>
      </c>
      <c r="W10" s="745"/>
      <c r="Y10" s="160"/>
      <c r="Z10" s="161"/>
      <c r="AB10" s="181"/>
      <c r="AC10" s="203"/>
      <c r="AD10" s="182"/>
    </row>
    <row r="11" spans="2:37" s="159" customFormat="1" x14ac:dyDescent="0.25">
      <c r="B11" s="696">
        <v>41424</v>
      </c>
      <c r="C11" s="215" t="s">
        <v>152</v>
      </c>
      <c r="D11" s="216" t="s">
        <v>304</v>
      </c>
      <c r="E11" s="435" t="s">
        <v>337</v>
      </c>
      <c r="F11" s="326">
        <v>100399</v>
      </c>
      <c r="G11" s="329"/>
      <c r="H11" s="221"/>
      <c r="I11" s="328"/>
      <c r="J11" s="329"/>
      <c r="K11" s="221"/>
      <c r="L11" s="221"/>
      <c r="M11" s="221">
        <v>35</v>
      </c>
      <c r="N11" s="221"/>
      <c r="O11" s="330"/>
      <c r="P11" s="330"/>
      <c r="Q11" s="330"/>
      <c r="R11" s="330"/>
      <c r="S11" s="373">
        <f t="shared" si="3"/>
        <v>35</v>
      </c>
      <c r="T11" s="332">
        <f t="shared" si="4"/>
        <v>1051.6500000000001</v>
      </c>
      <c r="U11" s="756" t="s">
        <v>23</v>
      </c>
      <c r="W11" s="334"/>
      <c r="Y11" s="160"/>
      <c r="Z11" s="161"/>
      <c r="AB11" s="181"/>
      <c r="AC11" s="203"/>
      <c r="AD11" s="182"/>
    </row>
    <row r="12" spans="2:37" s="159" customFormat="1" x14ac:dyDescent="0.25">
      <c r="B12" s="696">
        <v>41424</v>
      </c>
      <c r="C12" s="215" t="s">
        <v>137</v>
      </c>
      <c r="D12" s="216" t="s">
        <v>305</v>
      </c>
      <c r="E12" s="435" t="s">
        <v>337</v>
      </c>
      <c r="F12" s="326">
        <v>100401</v>
      </c>
      <c r="G12" s="329"/>
      <c r="H12" s="221"/>
      <c r="I12" s="328"/>
      <c r="J12" s="329"/>
      <c r="K12" s="221">
        <v>100.16</v>
      </c>
      <c r="L12" s="221"/>
      <c r="M12" s="221"/>
      <c r="N12" s="221"/>
      <c r="O12" s="330"/>
      <c r="P12" s="330"/>
      <c r="Q12" s="330"/>
      <c r="R12" s="330"/>
      <c r="S12" s="373">
        <f t="shared" si="3"/>
        <v>100.16</v>
      </c>
      <c r="T12" s="332">
        <f t="shared" si="4"/>
        <v>951.49000000000012</v>
      </c>
      <c r="U12" s="756" t="s">
        <v>23</v>
      </c>
      <c r="W12" s="334"/>
      <c r="Y12" s="160"/>
      <c r="Z12" s="161"/>
      <c r="AB12" s="181"/>
      <c r="AC12" s="203"/>
      <c r="AD12" s="163"/>
    </row>
    <row r="13" spans="2:37" s="159" customFormat="1" x14ac:dyDescent="0.25">
      <c r="B13" s="696">
        <v>41424</v>
      </c>
      <c r="C13" s="215" t="s">
        <v>163</v>
      </c>
      <c r="D13" s="216" t="s">
        <v>306</v>
      </c>
      <c r="E13" s="435" t="s">
        <v>337</v>
      </c>
      <c r="F13" s="326">
        <v>100402</v>
      </c>
      <c r="G13" s="329"/>
      <c r="H13" s="221"/>
      <c r="I13" s="328"/>
      <c r="J13" s="329"/>
      <c r="K13" s="221">
        <v>25</v>
      </c>
      <c r="L13" s="221"/>
      <c r="M13" s="221"/>
      <c r="N13" s="221"/>
      <c r="O13" s="330"/>
      <c r="P13" s="330"/>
      <c r="Q13" s="330"/>
      <c r="R13" s="330"/>
      <c r="S13" s="373">
        <f t="shared" si="3"/>
        <v>25</v>
      </c>
      <c r="T13" s="332">
        <f t="shared" si="4"/>
        <v>926.49000000000012</v>
      </c>
      <c r="U13" s="756" t="s">
        <v>23</v>
      </c>
      <c r="W13" s="334" t="s">
        <v>307</v>
      </c>
      <c r="Y13" s="160"/>
      <c r="Z13" s="161"/>
      <c r="AB13" s="181"/>
      <c r="AC13" s="203"/>
      <c r="AD13" s="163"/>
    </row>
    <row r="14" spans="2:37" s="159" customFormat="1" x14ac:dyDescent="0.25">
      <c r="B14" s="696">
        <v>41516</v>
      </c>
      <c r="C14" s="215" t="s">
        <v>163</v>
      </c>
      <c r="D14" s="216" t="s">
        <v>308</v>
      </c>
      <c r="E14" s="435" t="s">
        <v>337</v>
      </c>
      <c r="F14" s="326">
        <v>100403</v>
      </c>
      <c r="G14" s="329"/>
      <c r="H14" s="221"/>
      <c r="I14" s="328"/>
      <c r="J14" s="329"/>
      <c r="K14" s="221">
        <v>25</v>
      </c>
      <c r="L14" s="221"/>
      <c r="M14" s="221"/>
      <c r="N14" s="221"/>
      <c r="O14" s="330"/>
      <c r="P14" s="330"/>
      <c r="Q14" s="330"/>
      <c r="R14" s="330"/>
      <c r="S14" s="373">
        <f t="shared" si="3"/>
        <v>25</v>
      </c>
      <c r="T14" s="332">
        <f t="shared" si="4"/>
        <v>901.49000000000012</v>
      </c>
      <c r="U14" s="756" t="s">
        <v>23</v>
      </c>
      <c r="W14" s="334"/>
      <c r="Y14" s="160"/>
      <c r="Z14" s="161"/>
      <c r="AB14" s="181"/>
      <c r="AC14" s="203"/>
      <c r="AD14" s="163"/>
    </row>
    <row r="15" spans="2:37" s="159" customFormat="1" x14ac:dyDescent="0.25">
      <c r="B15" s="696">
        <v>41516</v>
      </c>
      <c r="C15" s="215" t="s">
        <v>137</v>
      </c>
      <c r="D15" s="216" t="s">
        <v>309</v>
      </c>
      <c r="E15" s="435" t="s">
        <v>337</v>
      </c>
      <c r="F15" s="326">
        <v>100404</v>
      </c>
      <c r="G15" s="329"/>
      <c r="H15" s="221"/>
      <c r="I15" s="328"/>
      <c r="J15" s="329"/>
      <c r="K15" s="221">
        <v>100.16</v>
      </c>
      <c r="L15" s="221"/>
      <c r="M15" s="221"/>
      <c r="N15" s="221"/>
      <c r="O15" s="330"/>
      <c r="P15" s="330"/>
      <c r="Q15" s="330"/>
      <c r="R15" s="330"/>
      <c r="S15" s="373">
        <f t="shared" si="3"/>
        <v>100.16</v>
      </c>
      <c r="T15" s="332">
        <f t="shared" si="4"/>
        <v>801.33000000000015</v>
      </c>
      <c r="U15" s="756" t="s">
        <v>23</v>
      </c>
      <c r="W15" s="334"/>
      <c r="Y15" s="160"/>
      <c r="Z15" s="161"/>
      <c r="AB15" s="181"/>
      <c r="AC15" s="203"/>
      <c r="AD15" s="163"/>
    </row>
    <row r="16" spans="2:37" s="159" customFormat="1" x14ac:dyDescent="0.25">
      <c r="B16" s="696">
        <v>41516</v>
      </c>
      <c r="C16" s="215" t="s">
        <v>310</v>
      </c>
      <c r="D16" s="216" t="s">
        <v>311</v>
      </c>
      <c r="E16" s="435" t="s">
        <v>337</v>
      </c>
      <c r="F16" s="326">
        <v>100405</v>
      </c>
      <c r="G16" s="329"/>
      <c r="H16" s="221"/>
      <c r="I16" s="328"/>
      <c r="J16" s="329"/>
      <c r="K16" s="221"/>
      <c r="L16" s="221"/>
      <c r="M16" s="221">
        <v>28</v>
      </c>
      <c r="N16" s="221"/>
      <c r="O16" s="330"/>
      <c r="P16" s="330"/>
      <c r="Q16" s="330"/>
      <c r="R16" s="330"/>
      <c r="S16" s="373">
        <f t="shared" si="3"/>
        <v>28</v>
      </c>
      <c r="T16" s="332">
        <f t="shared" si="4"/>
        <v>773.33000000000015</v>
      </c>
      <c r="U16" s="756" t="s">
        <v>23</v>
      </c>
      <c r="W16" s="334"/>
      <c r="Y16" s="160"/>
      <c r="Z16" s="161"/>
      <c r="AB16" s="181"/>
      <c r="AC16" s="203"/>
      <c r="AD16" s="182"/>
    </row>
    <row r="17" spans="2:30" s="159" customFormat="1" x14ac:dyDescent="0.25">
      <c r="B17" s="704">
        <v>41523</v>
      </c>
      <c r="C17" s="225" t="s">
        <v>112</v>
      </c>
      <c r="D17" s="226" t="s">
        <v>312</v>
      </c>
      <c r="E17" s="435" t="s">
        <v>337</v>
      </c>
      <c r="F17" s="326">
        <v>100406</v>
      </c>
      <c r="G17" s="329"/>
      <c r="H17" s="221"/>
      <c r="I17" s="328"/>
      <c r="J17" s="329"/>
      <c r="K17" s="221"/>
      <c r="L17" s="221"/>
      <c r="M17" s="221"/>
      <c r="N17" s="221">
        <v>254.13</v>
      </c>
      <c r="O17" s="330"/>
      <c r="P17" s="330"/>
      <c r="Q17" s="330"/>
      <c r="R17" s="330"/>
      <c r="S17" s="373">
        <f t="shared" si="3"/>
        <v>254.13</v>
      </c>
      <c r="T17" s="332">
        <f t="shared" si="4"/>
        <v>519.20000000000016</v>
      </c>
      <c r="U17" s="756" t="s">
        <v>23</v>
      </c>
      <c r="W17" s="334"/>
      <c r="Y17" s="160"/>
      <c r="Z17" s="161"/>
      <c r="AB17" s="181"/>
      <c r="AC17" s="203"/>
      <c r="AD17" s="163"/>
    </row>
    <row r="18" spans="2:30" s="155" customFormat="1" x14ac:dyDescent="0.25">
      <c r="B18" s="746">
        <v>41548</v>
      </c>
      <c r="C18" s="747" t="s">
        <v>140</v>
      </c>
      <c r="D18" s="758" t="s">
        <v>187</v>
      </c>
      <c r="E18" s="759"/>
      <c r="F18" s="750"/>
      <c r="G18" s="751">
        <v>950</v>
      </c>
      <c r="H18" s="752"/>
      <c r="I18" s="753"/>
      <c r="J18" s="751"/>
      <c r="K18" s="752"/>
      <c r="L18" s="752"/>
      <c r="M18" s="807"/>
      <c r="N18" s="752"/>
      <c r="O18" s="808"/>
      <c r="P18" s="808"/>
      <c r="Q18" s="808"/>
      <c r="R18" s="808"/>
      <c r="S18" s="373">
        <f t="shared" si="3"/>
        <v>0</v>
      </c>
      <c r="T18" s="332">
        <f t="shared" si="4"/>
        <v>1469.2000000000003</v>
      </c>
      <c r="U18" s="756" t="s">
        <v>23</v>
      </c>
      <c r="V18" s="159"/>
      <c r="W18" s="334" t="s">
        <v>313</v>
      </c>
      <c r="X18" s="159"/>
      <c r="Y18" s="160"/>
      <c r="Z18" s="161"/>
      <c r="AA18" s="159"/>
      <c r="AB18" s="181"/>
      <c r="AC18" s="203"/>
      <c r="AD18" s="182"/>
    </row>
    <row r="19" spans="2:30" s="159" customFormat="1" x14ac:dyDescent="0.25">
      <c r="B19" s="696">
        <v>41610</v>
      </c>
      <c r="C19" s="215" t="s">
        <v>338</v>
      </c>
      <c r="D19" s="227" t="s">
        <v>339</v>
      </c>
      <c r="E19" s="435" t="s">
        <v>340</v>
      </c>
      <c r="F19" s="354">
        <v>100407</v>
      </c>
      <c r="G19" s="329"/>
      <c r="H19" s="221"/>
      <c r="I19" s="328"/>
      <c r="J19" s="329">
        <v>25</v>
      </c>
      <c r="K19" s="221"/>
      <c r="L19" s="221"/>
      <c r="M19" s="570"/>
      <c r="N19" s="221"/>
      <c r="O19" s="330"/>
      <c r="P19" s="330"/>
      <c r="Q19" s="330"/>
      <c r="R19" s="330"/>
      <c r="S19" s="373">
        <f t="shared" ref="S19:S22" si="5">SUM(J19:R19)</f>
        <v>25</v>
      </c>
      <c r="T19" s="332">
        <f t="shared" si="4"/>
        <v>1444.2000000000003</v>
      </c>
      <c r="U19" s="756" t="s">
        <v>23</v>
      </c>
      <c r="W19" s="334"/>
      <c r="Y19" s="160"/>
      <c r="Z19" s="161"/>
      <c r="AB19" s="181"/>
      <c r="AC19" s="203"/>
      <c r="AD19" s="182"/>
    </row>
    <row r="20" spans="2:30" s="159" customFormat="1" x14ac:dyDescent="0.25">
      <c r="B20" s="696">
        <v>41610</v>
      </c>
      <c r="C20" s="215" t="s">
        <v>341</v>
      </c>
      <c r="D20" s="227" t="s">
        <v>342</v>
      </c>
      <c r="E20" s="435" t="s">
        <v>340</v>
      </c>
      <c r="F20" s="354">
        <v>100408</v>
      </c>
      <c r="G20" s="329"/>
      <c r="H20" s="221"/>
      <c r="I20" s="328"/>
      <c r="J20" s="329">
        <v>25</v>
      </c>
      <c r="K20" s="221"/>
      <c r="L20" s="221"/>
      <c r="M20" s="570"/>
      <c r="N20" s="221"/>
      <c r="O20" s="330"/>
      <c r="P20" s="330"/>
      <c r="Q20" s="330"/>
      <c r="R20" s="330"/>
      <c r="S20" s="373">
        <f t="shared" si="5"/>
        <v>25</v>
      </c>
      <c r="T20" s="332">
        <f t="shared" si="4"/>
        <v>1419.2000000000003</v>
      </c>
      <c r="U20" s="756" t="s">
        <v>23</v>
      </c>
      <c r="W20" s="334"/>
      <c r="Y20" s="160"/>
      <c r="Z20" s="161"/>
      <c r="AB20" s="181"/>
      <c r="AC20" s="203"/>
      <c r="AD20" s="182"/>
    </row>
    <row r="21" spans="2:30" s="159" customFormat="1" x14ac:dyDescent="0.25">
      <c r="B21" s="696">
        <v>41610</v>
      </c>
      <c r="C21" s="215" t="s">
        <v>343</v>
      </c>
      <c r="D21" s="227" t="s">
        <v>344</v>
      </c>
      <c r="E21" s="435" t="s">
        <v>340</v>
      </c>
      <c r="F21" s="354">
        <v>100409</v>
      </c>
      <c r="G21" s="329"/>
      <c r="H21" s="221"/>
      <c r="I21" s="328"/>
      <c r="J21" s="329">
        <v>25</v>
      </c>
      <c r="K21" s="221"/>
      <c r="L21" s="221"/>
      <c r="M21" s="570"/>
      <c r="N21" s="221"/>
      <c r="O21" s="330"/>
      <c r="P21" s="330"/>
      <c r="Q21" s="330"/>
      <c r="R21" s="330"/>
      <c r="S21" s="373">
        <f t="shared" si="5"/>
        <v>25</v>
      </c>
      <c r="T21" s="332">
        <f t="shared" si="4"/>
        <v>1394.2000000000003</v>
      </c>
      <c r="U21" s="756"/>
      <c r="W21" s="334"/>
      <c r="Y21" s="160"/>
      <c r="Z21" s="161"/>
      <c r="AB21" s="181"/>
      <c r="AC21" s="203"/>
      <c r="AD21" s="182"/>
    </row>
    <row r="22" spans="2:30" s="155" customFormat="1" x14ac:dyDescent="0.25">
      <c r="B22" s="696">
        <v>41610</v>
      </c>
      <c r="C22" s="215" t="s">
        <v>163</v>
      </c>
      <c r="D22" s="216" t="s">
        <v>314</v>
      </c>
      <c r="E22" s="435" t="s">
        <v>345</v>
      </c>
      <c r="F22" s="326">
        <v>100410</v>
      </c>
      <c r="G22" s="329"/>
      <c r="H22" s="221"/>
      <c r="I22" s="328"/>
      <c r="J22" s="329"/>
      <c r="K22" s="221">
        <v>25</v>
      </c>
      <c r="L22" s="221"/>
      <c r="M22" s="570"/>
      <c r="N22" s="221"/>
      <c r="O22" s="330"/>
      <c r="P22" s="330"/>
      <c r="Q22" s="330"/>
      <c r="R22" s="330"/>
      <c r="S22" s="373">
        <f t="shared" si="5"/>
        <v>25</v>
      </c>
      <c r="T22" s="332">
        <f t="shared" si="4"/>
        <v>1369.2000000000003</v>
      </c>
      <c r="U22" s="756"/>
      <c r="V22" s="159"/>
      <c r="W22" s="766"/>
      <c r="X22" s="444"/>
      <c r="Y22" s="160"/>
      <c r="Z22" s="161"/>
      <c r="AA22" s="159"/>
      <c r="AB22" s="181"/>
      <c r="AC22" s="203"/>
      <c r="AD22" s="182"/>
    </row>
    <row r="23" spans="2:30" s="155" customFormat="1" x14ac:dyDescent="0.25">
      <c r="B23" s="696">
        <v>41610</v>
      </c>
      <c r="C23" s="215" t="s">
        <v>137</v>
      </c>
      <c r="D23" s="216" t="s">
        <v>346</v>
      </c>
      <c r="E23" s="435" t="s">
        <v>345</v>
      </c>
      <c r="F23" s="326">
        <v>100411</v>
      </c>
      <c r="G23" s="329"/>
      <c r="H23" s="221"/>
      <c r="I23" s="328"/>
      <c r="J23" s="329"/>
      <c r="K23" s="221">
        <v>100.16</v>
      </c>
      <c r="L23" s="221"/>
      <c r="M23" s="570"/>
      <c r="N23" s="221"/>
      <c r="O23" s="330"/>
      <c r="P23" s="330"/>
      <c r="Q23" s="330"/>
      <c r="R23" s="330"/>
      <c r="S23" s="373">
        <f t="shared" si="3"/>
        <v>100.16</v>
      </c>
      <c r="T23" s="332">
        <f t="shared" si="4"/>
        <v>1269.0400000000002</v>
      </c>
      <c r="U23" s="756" t="s">
        <v>23</v>
      </c>
      <c r="V23" s="159"/>
      <c r="W23" s="766"/>
      <c r="X23" s="444"/>
      <c r="Y23" s="160"/>
      <c r="Z23" s="161"/>
      <c r="AA23" s="159"/>
      <c r="AB23" s="181"/>
      <c r="AC23" s="203"/>
      <c r="AD23" s="182"/>
    </row>
    <row r="24" spans="2:30" s="155" customFormat="1" x14ac:dyDescent="0.25">
      <c r="B24" s="696">
        <v>41701</v>
      </c>
      <c r="C24" s="215" t="s">
        <v>163</v>
      </c>
      <c r="D24" s="216" t="s">
        <v>315</v>
      </c>
      <c r="E24" s="435" t="s">
        <v>347</v>
      </c>
      <c r="F24" s="326">
        <v>100412</v>
      </c>
      <c r="G24" s="329"/>
      <c r="H24" s="221"/>
      <c r="I24" s="328"/>
      <c r="J24" s="380"/>
      <c r="K24" s="221">
        <v>26</v>
      </c>
      <c r="L24" s="221"/>
      <c r="M24" s="221"/>
      <c r="N24" s="221"/>
      <c r="O24" s="330"/>
      <c r="P24" s="330"/>
      <c r="Q24" s="330"/>
      <c r="R24" s="330"/>
      <c r="S24" s="373">
        <f t="shared" si="3"/>
        <v>26</v>
      </c>
      <c r="T24" s="332">
        <f t="shared" si="4"/>
        <v>1243.0400000000002</v>
      </c>
      <c r="U24" s="756"/>
      <c r="V24" s="159"/>
      <c r="W24" s="766"/>
      <c r="X24" s="447"/>
      <c r="Y24" s="160"/>
      <c r="Z24" s="161"/>
      <c r="AA24" s="159"/>
      <c r="AB24" s="181"/>
      <c r="AC24" s="203"/>
      <c r="AD24" s="163"/>
    </row>
    <row r="25" spans="2:30" s="155" customFormat="1" x14ac:dyDescent="0.25">
      <c r="B25" s="696">
        <v>41701</v>
      </c>
      <c r="C25" s="215" t="s">
        <v>137</v>
      </c>
      <c r="D25" s="216" t="s">
        <v>348</v>
      </c>
      <c r="E25" s="435" t="s">
        <v>347</v>
      </c>
      <c r="F25" s="326">
        <v>100413</v>
      </c>
      <c r="G25" s="329"/>
      <c r="H25" s="221"/>
      <c r="I25" s="328"/>
      <c r="J25" s="380"/>
      <c r="K25" s="221">
        <v>104.2</v>
      </c>
      <c r="L25" s="221"/>
      <c r="M25" s="221"/>
      <c r="N25" s="221"/>
      <c r="O25" s="330"/>
      <c r="P25" s="330"/>
      <c r="Q25" s="330"/>
      <c r="R25" s="330"/>
      <c r="S25" s="373">
        <f t="shared" si="3"/>
        <v>104.2</v>
      </c>
      <c r="T25" s="332">
        <f t="shared" si="4"/>
        <v>1138.8400000000001</v>
      </c>
      <c r="U25" s="756"/>
      <c r="V25" s="159"/>
      <c r="W25" s="766"/>
      <c r="X25" s="447"/>
      <c r="Y25" s="160"/>
      <c r="Z25" s="161"/>
      <c r="AA25" s="159"/>
      <c r="AB25" s="181"/>
      <c r="AC25" s="203"/>
      <c r="AD25" s="163"/>
    </row>
    <row r="26" spans="2:30" s="155" customFormat="1" x14ac:dyDescent="0.25">
      <c r="B26" s="696">
        <v>41701</v>
      </c>
      <c r="C26" s="215" t="s">
        <v>137</v>
      </c>
      <c r="D26" s="227" t="s">
        <v>316</v>
      </c>
      <c r="E26" s="435" t="s">
        <v>347</v>
      </c>
      <c r="F26" s="326">
        <v>100414</v>
      </c>
      <c r="G26" s="329"/>
      <c r="H26" s="221"/>
      <c r="I26" s="328"/>
      <c r="J26" s="380"/>
      <c r="K26" s="221"/>
      <c r="L26" s="221">
        <v>308.91000000000003</v>
      </c>
      <c r="M26" s="221"/>
      <c r="N26" s="221"/>
      <c r="O26" s="330"/>
      <c r="P26" s="330"/>
      <c r="Q26" s="330"/>
      <c r="R26" s="330">
        <v>12.6</v>
      </c>
      <c r="S26" s="373">
        <f t="shared" si="3"/>
        <v>321.51000000000005</v>
      </c>
      <c r="T26" s="332">
        <f t="shared" si="4"/>
        <v>817.33000000000015</v>
      </c>
      <c r="U26" s="756"/>
      <c r="V26" s="159"/>
      <c r="W26" s="766"/>
      <c r="X26" s="447"/>
      <c r="Y26" s="160"/>
      <c r="Z26" s="161"/>
      <c r="AA26" s="159"/>
      <c r="AB26" s="181"/>
      <c r="AC26" s="203"/>
      <c r="AD26" s="163"/>
    </row>
    <row r="27" spans="2:30" s="155" customFormat="1" x14ac:dyDescent="0.25">
      <c r="B27" s="696">
        <v>41701</v>
      </c>
      <c r="C27" s="215" t="s">
        <v>119</v>
      </c>
      <c r="D27" s="227" t="s">
        <v>349</v>
      </c>
      <c r="E27" s="435" t="s">
        <v>347</v>
      </c>
      <c r="F27" s="326">
        <v>100415</v>
      </c>
      <c r="G27" s="329"/>
      <c r="H27" s="221"/>
      <c r="I27" s="328"/>
      <c r="J27" s="380"/>
      <c r="K27" s="221"/>
      <c r="L27" s="809"/>
      <c r="M27" s="221"/>
      <c r="N27" s="221"/>
      <c r="O27" s="330"/>
      <c r="P27" s="330"/>
      <c r="Q27" s="330">
        <v>20</v>
      </c>
      <c r="R27" s="330"/>
      <c r="S27" s="373">
        <f t="shared" ref="S27:S29" si="6">SUM(J27:R27)</f>
        <v>20</v>
      </c>
      <c r="T27" s="332">
        <f t="shared" si="4"/>
        <v>797.33000000000015</v>
      </c>
      <c r="U27" s="756"/>
      <c r="V27" s="159"/>
      <c r="W27" s="766"/>
      <c r="X27" s="447"/>
      <c r="Y27" s="160"/>
      <c r="Z27" s="161"/>
      <c r="AA27" s="159"/>
      <c r="AB27" s="181"/>
      <c r="AC27" s="203"/>
      <c r="AD27" s="163"/>
    </row>
    <row r="28" spans="2:30" s="155" customFormat="1" x14ac:dyDescent="0.25">
      <c r="B28" s="696"/>
      <c r="C28" s="215"/>
      <c r="D28" s="767"/>
      <c r="E28" s="374"/>
      <c r="F28" s="326"/>
      <c r="G28" s="329"/>
      <c r="H28" s="221"/>
      <c r="I28" s="328"/>
      <c r="J28" s="380"/>
      <c r="K28" s="221"/>
      <c r="L28" s="221"/>
      <c r="M28" s="221"/>
      <c r="N28" s="221"/>
      <c r="O28" s="330"/>
      <c r="P28" s="330"/>
      <c r="Q28" s="330"/>
      <c r="R28" s="330"/>
      <c r="S28" s="373">
        <f t="shared" si="6"/>
        <v>0</v>
      </c>
      <c r="T28" s="332">
        <f t="shared" si="4"/>
        <v>797.33000000000015</v>
      </c>
      <c r="U28" s="756"/>
      <c r="V28" s="159"/>
      <c r="W28" s="768"/>
      <c r="X28" s="447"/>
      <c r="Y28" s="160"/>
      <c r="Z28" s="161"/>
      <c r="AA28" s="159"/>
      <c r="AB28" s="181"/>
      <c r="AC28" s="203"/>
      <c r="AD28" s="163"/>
    </row>
    <row r="29" spans="2:30" s="155" customFormat="1" x14ac:dyDescent="0.25">
      <c r="B29" s="696"/>
      <c r="C29" s="215"/>
      <c r="D29" s="767"/>
      <c r="E29" s="374"/>
      <c r="F29" s="326"/>
      <c r="G29" s="329"/>
      <c r="H29" s="221"/>
      <c r="I29" s="328"/>
      <c r="J29" s="380"/>
      <c r="K29" s="221"/>
      <c r="L29" s="221"/>
      <c r="M29" s="221"/>
      <c r="N29" s="221"/>
      <c r="O29" s="330"/>
      <c r="P29" s="330"/>
      <c r="Q29" s="330"/>
      <c r="R29" s="330"/>
      <c r="S29" s="373">
        <f t="shared" si="6"/>
        <v>0</v>
      </c>
      <c r="T29" s="332">
        <f t="shared" si="4"/>
        <v>797.33000000000015</v>
      </c>
      <c r="U29" s="756"/>
      <c r="V29" s="159"/>
      <c r="W29" s="766"/>
      <c r="X29" s="447"/>
      <c r="Y29" s="160"/>
      <c r="Z29" s="161"/>
      <c r="AA29" s="159"/>
      <c r="AB29" s="181"/>
      <c r="AC29" s="203"/>
      <c r="AD29" s="163"/>
    </row>
    <row r="30" spans="2:30" s="155" customFormat="1" x14ac:dyDescent="0.25">
      <c r="B30" s="696"/>
      <c r="C30" s="215"/>
      <c r="D30" s="227"/>
      <c r="E30" s="374"/>
      <c r="F30" s="354"/>
      <c r="G30" s="329"/>
      <c r="H30" s="221"/>
      <c r="I30" s="328"/>
      <c r="J30" s="380"/>
      <c r="K30" s="221"/>
      <c r="L30" s="221"/>
      <c r="M30" s="221"/>
      <c r="N30" s="221"/>
      <c r="O30" s="330"/>
      <c r="P30" s="330"/>
      <c r="Q30" s="330"/>
      <c r="R30" s="330"/>
      <c r="S30" s="373">
        <f t="shared" si="3"/>
        <v>0</v>
      </c>
      <c r="T30" s="332">
        <f t="shared" si="4"/>
        <v>797.33000000000015</v>
      </c>
      <c r="U30" s="756"/>
      <c r="V30" s="159"/>
      <c r="W30" s="766"/>
      <c r="X30" s="447"/>
      <c r="Y30" s="160"/>
      <c r="Z30" s="161"/>
      <c r="AA30" s="159"/>
      <c r="AB30" s="181"/>
      <c r="AC30" s="203"/>
      <c r="AD30" s="163"/>
    </row>
    <row r="31" spans="2:30" s="155" customFormat="1" x14ac:dyDescent="0.25">
      <c r="B31" s="696"/>
      <c r="C31" s="215"/>
      <c r="D31" s="227"/>
      <c r="E31" s="374"/>
      <c r="F31" s="354"/>
      <c r="G31" s="329"/>
      <c r="H31" s="221"/>
      <c r="I31" s="328"/>
      <c r="J31" s="380"/>
      <c r="K31" s="221"/>
      <c r="L31" s="221"/>
      <c r="M31" s="221"/>
      <c r="N31" s="221"/>
      <c r="O31" s="330"/>
      <c r="P31" s="330"/>
      <c r="Q31" s="330"/>
      <c r="R31" s="330"/>
      <c r="S31" s="373">
        <f t="shared" si="3"/>
        <v>0</v>
      </c>
      <c r="T31" s="332">
        <f t="shared" si="4"/>
        <v>797.33000000000015</v>
      </c>
      <c r="U31" s="756"/>
      <c r="V31" s="159"/>
      <c r="W31" s="766"/>
      <c r="X31" s="444"/>
      <c r="Y31" s="160"/>
      <c r="Z31" s="161"/>
      <c r="AA31" s="159"/>
      <c r="AB31" s="181"/>
      <c r="AC31" s="203"/>
      <c r="AD31" s="244"/>
    </row>
    <row r="32" spans="2:30" s="155" customFormat="1" x14ac:dyDescent="0.25">
      <c r="B32" s="696"/>
      <c r="C32" s="215"/>
      <c r="D32" s="227"/>
      <c r="E32" s="374"/>
      <c r="F32" s="326"/>
      <c r="G32" s="329"/>
      <c r="H32" s="221"/>
      <c r="I32" s="328"/>
      <c r="J32" s="380"/>
      <c r="K32" s="221"/>
      <c r="L32" s="221"/>
      <c r="M32" s="221"/>
      <c r="N32" s="221"/>
      <c r="O32" s="330"/>
      <c r="P32" s="330"/>
      <c r="Q32" s="330"/>
      <c r="R32" s="330"/>
      <c r="S32" s="373">
        <f t="shared" si="3"/>
        <v>0</v>
      </c>
      <c r="T32" s="332">
        <f t="shared" si="4"/>
        <v>797.33000000000015</v>
      </c>
      <c r="U32" s="756"/>
      <c r="V32" s="159"/>
      <c r="W32" s="766"/>
      <c r="X32" s="444"/>
      <c r="Y32" s="160"/>
      <c r="Z32" s="161"/>
      <c r="AA32" s="159"/>
      <c r="AB32" s="181"/>
      <c r="AC32" s="203"/>
      <c r="AD32" s="244"/>
    </row>
    <row r="33" spans="2:37" x14ac:dyDescent="0.25">
      <c r="B33" s="696"/>
      <c r="C33" s="215"/>
      <c r="D33" s="227"/>
      <c r="E33" s="374"/>
      <c r="F33" s="354"/>
      <c r="G33" s="329"/>
      <c r="H33" s="221"/>
      <c r="I33" s="328"/>
      <c r="J33" s="380"/>
      <c r="K33" s="221"/>
      <c r="L33" s="221"/>
      <c r="M33" s="221"/>
      <c r="N33" s="221"/>
      <c r="O33" s="330"/>
      <c r="P33" s="330"/>
      <c r="Q33" s="330"/>
      <c r="R33" s="330"/>
      <c r="S33" s="373">
        <f t="shared" si="3"/>
        <v>0</v>
      </c>
      <c r="T33" s="332">
        <f t="shared" si="4"/>
        <v>797.33000000000015</v>
      </c>
      <c r="U33" s="756"/>
      <c r="W33" s="334"/>
      <c r="AB33" s="181"/>
      <c r="AC33" s="203"/>
    </row>
    <row r="34" spans="2:37" x14ac:dyDescent="0.25">
      <c r="B34" s="696"/>
      <c r="C34" s="215"/>
      <c r="D34" s="227"/>
      <c r="E34" s="374"/>
      <c r="F34" s="354"/>
      <c r="G34" s="329"/>
      <c r="H34" s="221"/>
      <c r="I34" s="328"/>
      <c r="J34" s="380"/>
      <c r="K34" s="221"/>
      <c r="L34" s="221"/>
      <c r="M34" s="221"/>
      <c r="N34" s="221"/>
      <c r="O34" s="330"/>
      <c r="P34" s="330"/>
      <c r="Q34" s="330"/>
      <c r="R34" s="330"/>
      <c r="S34" s="373">
        <f t="shared" si="3"/>
        <v>0</v>
      </c>
      <c r="T34" s="332">
        <f t="shared" si="4"/>
        <v>797.33000000000015</v>
      </c>
      <c r="U34" s="756"/>
      <c r="W34" s="334"/>
      <c r="AB34" s="181"/>
      <c r="AC34" s="203"/>
    </row>
    <row r="35" spans="2:37" x14ac:dyDescent="0.25">
      <c r="B35" s="696"/>
      <c r="C35" s="215"/>
      <c r="D35" s="227"/>
      <c r="E35" s="374"/>
      <c r="F35" s="354"/>
      <c r="G35" s="329"/>
      <c r="H35" s="221"/>
      <c r="I35" s="328"/>
      <c r="J35" s="380"/>
      <c r="K35" s="221"/>
      <c r="L35" s="221"/>
      <c r="M35" s="221"/>
      <c r="N35" s="221"/>
      <c r="O35" s="330"/>
      <c r="P35" s="330"/>
      <c r="Q35" s="330"/>
      <c r="R35" s="330"/>
      <c r="S35" s="373">
        <f t="shared" si="3"/>
        <v>0</v>
      </c>
      <c r="T35" s="332">
        <f t="shared" si="4"/>
        <v>797.33000000000015</v>
      </c>
      <c r="U35" s="756"/>
      <c r="W35" s="334"/>
      <c r="AB35" s="181"/>
      <c r="AC35" s="203"/>
    </row>
    <row r="36" spans="2:37" x14ac:dyDescent="0.25">
      <c r="B36" s="696"/>
      <c r="C36" s="215"/>
      <c r="D36" s="227"/>
      <c r="E36" s="374"/>
      <c r="F36" s="354"/>
      <c r="G36" s="329"/>
      <c r="H36" s="221"/>
      <c r="I36" s="328"/>
      <c r="J36" s="380"/>
      <c r="K36" s="221"/>
      <c r="L36" s="221"/>
      <c r="M36" s="221"/>
      <c r="N36" s="221"/>
      <c r="O36" s="330"/>
      <c r="P36" s="330"/>
      <c r="Q36" s="330"/>
      <c r="R36" s="330"/>
      <c r="S36" s="373">
        <f t="shared" si="3"/>
        <v>0</v>
      </c>
      <c r="T36" s="332">
        <f t="shared" si="4"/>
        <v>797.33000000000015</v>
      </c>
      <c r="U36" s="756"/>
      <c r="W36" s="334"/>
      <c r="AB36" s="181"/>
      <c r="AC36" s="203"/>
    </row>
    <row r="37" spans="2:37" x14ac:dyDescent="0.25">
      <c r="B37" s="696"/>
      <c r="C37" s="215"/>
      <c r="D37" s="227"/>
      <c r="E37" s="374"/>
      <c r="F37" s="354"/>
      <c r="G37" s="329"/>
      <c r="H37" s="221"/>
      <c r="I37" s="328"/>
      <c r="J37" s="380"/>
      <c r="K37" s="221"/>
      <c r="L37" s="221"/>
      <c r="M37" s="221"/>
      <c r="N37" s="221"/>
      <c r="O37" s="330"/>
      <c r="P37" s="330"/>
      <c r="Q37" s="330"/>
      <c r="R37" s="330"/>
      <c r="S37" s="373">
        <f t="shared" si="3"/>
        <v>0</v>
      </c>
      <c r="T37" s="332">
        <f t="shared" si="4"/>
        <v>797.33000000000015</v>
      </c>
      <c r="U37" s="756"/>
      <c r="W37" s="334"/>
      <c r="AB37" s="181"/>
      <c r="AC37" s="203"/>
    </row>
    <row r="38" spans="2:37" x14ac:dyDescent="0.25">
      <c r="B38" s="696"/>
      <c r="C38" s="215"/>
      <c r="D38" s="227"/>
      <c r="E38" s="374"/>
      <c r="F38" s="354"/>
      <c r="G38" s="329"/>
      <c r="H38" s="221"/>
      <c r="I38" s="328"/>
      <c r="J38" s="380"/>
      <c r="K38" s="221"/>
      <c r="L38" s="221"/>
      <c r="M38" s="221"/>
      <c r="N38" s="221"/>
      <c r="O38" s="330"/>
      <c r="P38" s="330"/>
      <c r="Q38" s="330"/>
      <c r="R38" s="330"/>
      <c r="S38" s="373">
        <f t="shared" si="3"/>
        <v>0</v>
      </c>
      <c r="T38" s="332">
        <f t="shared" si="4"/>
        <v>797.33000000000015</v>
      </c>
      <c r="U38" s="756"/>
      <c r="W38" s="334"/>
      <c r="AB38" s="245"/>
      <c r="AC38" s="246"/>
      <c r="AD38" s="247"/>
    </row>
    <row r="39" spans="2:37" ht="20" thickBot="1" x14ac:dyDescent="0.3">
      <c r="B39" s="711"/>
      <c r="C39" s="215"/>
      <c r="D39" s="227"/>
      <c r="E39" s="383"/>
      <c r="F39" s="384"/>
      <c r="G39" s="385"/>
      <c r="H39" s="386"/>
      <c r="I39" s="387"/>
      <c r="J39" s="810"/>
      <c r="K39" s="386"/>
      <c r="L39" s="386"/>
      <c r="M39" s="386"/>
      <c r="N39" s="386"/>
      <c r="O39" s="389"/>
      <c r="P39" s="389"/>
      <c r="Q39" s="389"/>
      <c r="R39" s="389"/>
      <c r="S39" s="390"/>
      <c r="T39" s="391"/>
      <c r="U39" s="769"/>
      <c r="X39" s="770"/>
      <c r="AB39" s="245"/>
      <c r="AC39" s="246"/>
      <c r="AD39" s="247"/>
    </row>
    <row r="40" spans="2:37" ht="21" thickTop="1" thickBot="1" x14ac:dyDescent="0.3">
      <c r="B40" s="521"/>
      <c r="C40" s="522"/>
      <c r="D40" s="523" t="s">
        <v>122</v>
      </c>
      <c r="E40" s="524"/>
      <c r="F40" s="525"/>
      <c r="G40" s="575">
        <f>SUM(G7:G39)</f>
        <v>2063</v>
      </c>
      <c r="H40" s="575">
        <f>SUM(H6:H39)</f>
        <v>0</v>
      </c>
      <c r="I40" s="576">
        <f>SUM(I6:I39)</f>
        <v>15.93</v>
      </c>
      <c r="J40" s="577">
        <f>SUM(J6:J39)</f>
        <v>150</v>
      </c>
      <c r="K40" s="578">
        <f t="shared" ref="K40:R40" si="7">SUM(K6:K39)</f>
        <v>505.68</v>
      </c>
      <c r="L40" s="578">
        <f t="shared" si="7"/>
        <v>308.91000000000003</v>
      </c>
      <c r="M40" s="578">
        <f t="shared" si="7"/>
        <v>63</v>
      </c>
      <c r="N40" s="578">
        <f t="shared" si="7"/>
        <v>371.13</v>
      </c>
      <c r="O40" s="578">
        <f t="shared" si="7"/>
        <v>125</v>
      </c>
      <c r="P40" s="578">
        <f t="shared" si="7"/>
        <v>0</v>
      </c>
      <c r="Q40" s="578">
        <f t="shared" si="7"/>
        <v>20</v>
      </c>
      <c r="R40" s="579">
        <f t="shared" si="7"/>
        <v>12.6</v>
      </c>
      <c r="S40" s="580">
        <f>SUM(S8:S39)</f>
        <v>1556.32</v>
      </c>
      <c r="T40" s="771">
        <f>T4+SUM(G40:I40)-S40</f>
        <v>797.3299999999997</v>
      </c>
      <c r="U40" s="772"/>
      <c r="AC40" s="203"/>
    </row>
    <row r="41" spans="2:37" ht="20" thickTop="1" x14ac:dyDescent="0.25"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AC41" s="203"/>
    </row>
    <row r="42" spans="2:37" s="459" customFormat="1" ht="18" x14ac:dyDescent="0.25">
      <c r="D42" s="458" t="s">
        <v>248</v>
      </c>
      <c r="E42" s="458" t="s">
        <v>196</v>
      </c>
      <c r="G42" s="460"/>
      <c r="H42" s="460"/>
      <c r="I42" s="460"/>
      <c r="J42" s="715">
        <f>6.15*133</f>
        <v>817.95</v>
      </c>
      <c r="K42" s="460"/>
      <c r="L42" s="460"/>
      <c r="M42" s="460"/>
      <c r="N42" s="460"/>
      <c r="O42" s="460"/>
      <c r="P42" s="460"/>
      <c r="Q42" s="460"/>
      <c r="R42" s="460"/>
      <c r="S42" s="536">
        <f>SUM(S22:S28)</f>
        <v>596.87000000000012</v>
      </c>
      <c r="T42" s="533">
        <f>S40-K40</f>
        <v>1050.6399999999999</v>
      </c>
      <c r="U42" s="462"/>
      <c r="V42" s="163"/>
      <c r="W42" s="203"/>
      <c r="X42" s="163"/>
      <c r="Y42" s="160"/>
      <c r="Z42" s="161"/>
      <c r="AA42" s="163"/>
      <c r="AB42" s="463"/>
      <c r="AC42" s="203"/>
      <c r="AD42" s="163"/>
      <c r="AE42" s="163"/>
      <c r="AF42" s="163"/>
      <c r="AG42" s="163"/>
      <c r="AH42" s="163"/>
      <c r="AI42" s="163"/>
      <c r="AJ42" s="163"/>
      <c r="AK42" s="163"/>
    </row>
    <row r="43" spans="2:37" x14ac:dyDescent="0.25">
      <c r="E43" s="458" t="s">
        <v>284</v>
      </c>
      <c r="G43" s="268"/>
      <c r="H43" s="268"/>
      <c r="I43" s="268"/>
      <c r="J43" s="773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W43" s="582"/>
    </row>
    <row r="44" spans="2:37" x14ac:dyDescent="0.25">
      <c r="D44" s="267" t="s">
        <v>317</v>
      </c>
      <c r="E44" s="458" t="s">
        <v>286</v>
      </c>
      <c r="G44" s="268"/>
      <c r="H44" s="268"/>
      <c r="I44" s="268"/>
      <c r="J44" s="715">
        <f>6.98*131</f>
        <v>914.38000000000011</v>
      </c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W44" s="582"/>
    </row>
    <row r="45" spans="2:37" s="459" customFormat="1" ht="18" x14ac:dyDescent="0.25">
      <c r="C45" s="583" t="s">
        <v>212</v>
      </c>
      <c r="D45" s="458"/>
      <c r="E45" s="458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  <c r="R45" s="460"/>
      <c r="S45" s="534"/>
      <c r="T45" s="584">
        <f>T4</f>
        <v>274.72000000000003</v>
      </c>
      <c r="U45" s="462"/>
      <c r="V45" s="163"/>
      <c r="W45" s="584"/>
      <c r="X45" s="163"/>
      <c r="Y45" s="160"/>
      <c r="Z45" s="161"/>
      <c r="AA45" s="163"/>
      <c r="AB45" s="463"/>
      <c r="AC45" s="163"/>
      <c r="AD45" s="163"/>
      <c r="AE45" s="163"/>
      <c r="AF45" s="163"/>
      <c r="AG45" s="163"/>
      <c r="AH45" s="163"/>
      <c r="AI45" s="163"/>
      <c r="AJ45" s="163"/>
      <c r="AK45" s="163"/>
    </row>
    <row r="46" spans="2:37" x14ac:dyDescent="0.25"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535"/>
      <c r="T46" s="535"/>
      <c r="W46" s="535"/>
    </row>
    <row r="47" spans="2:37" s="459" customFormat="1" ht="18" x14ac:dyDescent="0.25">
      <c r="C47" s="458" t="s">
        <v>200</v>
      </c>
      <c r="D47" s="458" t="s">
        <v>47</v>
      </c>
      <c r="E47" s="458"/>
      <c r="G47" s="460">
        <f>G18*2</f>
        <v>1900</v>
      </c>
      <c r="H47" s="460"/>
      <c r="I47" s="460"/>
      <c r="J47" s="460"/>
      <c r="K47" s="460"/>
      <c r="L47" s="460"/>
      <c r="M47" s="460"/>
      <c r="N47" s="460"/>
      <c r="O47" s="460"/>
      <c r="P47" s="460"/>
      <c r="Q47" s="460"/>
      <c r="R47" s="460"/>
      <c r="S47" s="534">
        <f>SUM(G47:R47)</f>
        <v>1900</v>
      </c>
      <c r="T47" s="534"/>
      <c r="U47" s="462"/>
      <c r="V47" s="163"/>
      <c r="W47" s="534"/>
      <c r="X47" s="163"/>
      <c r="Y47" s="160"/>
      <c r="Z47" s="161"/>
      <c r="AA47" s="163"/>
      <c r="AB47" s="463"/>
      <c r="AC47" s="163"/>
      <c r="AD47" s="163"/>
      <c r="AE47" s="163"/>
      <c r="AF47" s="163"/>
      <c r="AG47" s="163"/>
      <c r="AH47" s="163"/>
      <c r="AI47" s="163"/>
      <c r="AJ47" s="163"/>
      <c r="AK47" s="163"/>
    </row>
    <row r="48" spans="2:37" s="459" customFormat="1" ht="18" x14ac:dyDescent="0.25">
      <c r="C48" s="458"/>
      <c r="D48" s="458" t="s">
        <v>213</v>
      </c>
      <c r="E48" s="458"/>
      <c r="G48" s="460">
        <f>G40-G47</f>
        <v>163</v>
      </c>
      <c r="H48" s="460"/>
      <c r="I48" s="460">
        <f>I40</f>
        <v>15.93</v>
      </c>
      <c r="J48" s="460"/>
      <c r="K48" s="460"/>
      <c r="L48" s="460"/>
      <c r="M48" s="460"/>
      <c r="N48" s="460"/>
      <c r="O48" s="460"/>
      <c r="P48" s="460"/>
      <c r="Q48" s="460"/>
      <c r="R48" s="460"/>
      <c r="S48" s="534">
        <f t="shared" ref="S48:S51" si="8">SUM(G48:R48)</f>
        <v>178.93</v>
      </c>
      <c r="T48" s="534"/>
      <c r="U48" s="462"/>
      <c r="V48" s="163"/>
      <c r="W48" s="534"/>
      <c r="X48" s="163"/>
      <c r="Y48" s="160"/>
      <c r="Z48" s="161"/>
      <c r="AA48" s="163"/>
      <c r="AB48" s="463"/>
      <c r="AC48" s="163"/>
      <c r="AD48" s="163"/>
      <c r="AE48" s="163"/>
      <c r="AF48" s="163"/>
      <c r="AG48" s="163"/>
      <c r="AH48" s="163"/>
      <c r="AI48" s="163"/>
      <c r="AJ48" s="163"/>
      <c r="AK48" s="163"/>
    </row>
    <row r="49" spans="3:37" s="459" customFormat="1" ht="18" x14ac:dyDescent="0.25">
      <c r="C49" s="458"/>
      <c r="D49" s="583" t="s">
        <v>64</v>
      </c>
      <c r="E49" s="458"/>
      <c r="G49" s="460"/>
      <c r="H49" s="460"/>
      <c r="I49" s="460"/>
      <c r="J49" s="460"/>
      <c r="K49" s="460"/>
      <c r="L49" s="460"/>
      <c r="M49" s="460"/>
      <c r="N49" s="460"/>
      <c r="O49" s="460"/>
      <c r="P49" s="460"/>
      <c r="Q49" s="460"/>
      <c r="R49" s="460"/>
      <c r="S49" s="534"/>
      <c r="T49" s="584">
        <f>SUM(S47:S48)</f>
        <v>2078.9299999999998</v>
      </c>
      <c r="U49" s="462"/>
      <c r="V49" s="163"/>
      <c r="W49" s="584"/>
      <c r="X49" s="163"/>
      <c r="Y49" s="160"/>
      <c r="Z49" s="161"/>
      <c r="AA49" s="163"/>
      <c r="AB49" s="463"/>
      <c r="AC49" s="163"/>
      <c r="AD49" s="163"/>
      <c r="AE49" s="163"/>
      <c r="AF49" s="163"/>
      <c r="AG49" s="163"/>
      <c r="AH49" s="163"/>
      <c r="AI49" s="163"/>
      <c r="AJ49" s="163"/>
      <c r="AK49" s="163"/>
    </row>
    <row r="50" spans="3:37" s="459" customFormat="1" ht="18" x14ac:dyDescent="0.25">
      <c r="C50" s="458" t="s">
        <v>214</v>
      </c>
      <c r="D50" s="458" t="s">
        <v>215</v>
      </c>
      <c r="E50" s="458"/>
      <c r="G50" s="460"/>
      <c r="H50" s="460"/>
      <c r="I50" s="460"/>
      <c r="J50" s="460"/>
      <c r="K50" s="460">
        <f>K40</f>
        <v>505.68</v>
      </c>
      <c r="L50" s="460"/>
      <c r="M50" s="460"/>
      <c r="N50" s="460"/>
      <c r="O50" s="460"/>
      <c r="P50" s="460"/>
      <c r="Q50" s="460"/>
      <c r="R50" s="460"/>
      <c r="S50" s="534">
        <f t="shared" si="8"/>
        <v>505.68</v>
      </c>
      <c r="T50" s="534"/>
      <c r="U50" s="462"/>
      <c r="V50" s="163"/>
      <c r="W50" s="534"/>
      <c r="X50" s="163"/>
      <c r="Y50" s="160"/>
      <c r="Z50" s="161"/>
      <c r="AA50" s="163"/>
      <c r="AB50" s="463"/>
      <c r="AC50" s="163"/>
      <c r="AD50" s="163"/>
      <c r="AE50" s="163"/>
      <c r="AF50" s="163"/>
      <c r="AG50" s="163"/>
      <c r="AH50" s="163"/>
      <c r="AI50" s="163"/>
      <c r="AJ50" s="163"/>
      <c r="AK50" s="163"/>
    </row>
    <row r="51" spans="3:37" s="459" customFormat="1" ht="18" x14ac:dyDescent="0.25">
      <c r="D51" s="458" t="s">
        <v>216</v>
      </c>
      <c r="E51" s="458"/>
      <c r="G51" s="460"/>
      <c r="H51" s="460"/>
      <c r="I51" s="460"/>
      <c r="J51" s="460">
        <f>J40</f>
        <v>150</v>
      </c>
      <c r="K51" s="460"/>
      <c r="L51" s="460">
        <f>L40</f>
        <v>308.91000000000003</v>
      </c>
      <c r="M51" s="460">
        <f>M40</f>
        <v>63</v>
      </c>
      <c r="N51" s="460">
        <f t="shared" ref="N51:R51" si="9">N40</f>
        <v>371.13</v>
      </c>
      <c r="O51" s="460">
        <f t="shared" si="9"/>
        <v>125</v>
      </c>
      <c r="P51" s="460">
        <f t="shared" si="9"/>
        <v>0</v>
      </c>
      <c r="Q51" s="460">
        <f t="shared" si="9"/>
        <v>20</v>
      </c>
      <c r="R51" s="460">
        <f t="shared" si="9"/>
        <v>12.6</v>
      </c>
      <c r="S51" s="534">
        <f t="shared" si="8"/>
        <v>1050.6399999999999</v>
      </c>
      <c r="T51" s="534"/>
      <c r="U51" s="462"/>
      <c r="V51" s="163"/>
      <c r="W51" s="534"/>
      <c r="X51" s="163"/>
      <c r="Y51" s="160"/>
      <c r="Z51" s="161"/>
      <c r="AA51" s="163"/>
      <c r="AB51" s="463"/>
      <c r="AC51" s="163"/>
      <c r="AD51" s="163"/>
      <c r="AE51" s="163"/>
      <c r="AF51" s="163"/>
      <c r="AG51" s="163"/>
      <c r="AH51" s="163"/>
      <c r="AI51" s="163"/>
      <c r="AJ51" s="163"/>
      <c r="AK51" s="163"/>
    </row>
    <row r="52" spans="3:37" x14ac:dyDescent="0.25">
      <c r="D52" s="583" t="s">
        <v>249</v>
      </c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584">
        <f>SUM(S50:S51)</f>
        <v>1556.32</v>
      </c>
      <c r="W52" s="584"/>
    </row>
    <row r="53" spans="3:37" x14ac:dyDescent="0.25"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W53" s="268"/>
    </row>
    <row r="54" spans="3:37" x14ac:dyDescent="0.25">
      <c r="C54" s="583" t="s">
        <v>250</v>
      </c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585">
        <f>T45+T49-T52</f>
        <v>797.3299999999997</v>
      </c>
      <c r="U54" s="722">
        <f>T40/1900</f>
        <v>0.41964736842105249</v>
      </c>
      <c r="W54" s="268"/>
      <c r="X54" s="517"/>
    </row>
    <row r="55" spans="3:37" s="811" customFormat="1" ht="18" x14ac:dyDescent="0.25">
      <c r="D55" s="812"/>
      <c r="E55" s="812"/>
      <c r="G55" s="813"/>
      <c r="H55" s="813"/>
      <c r="I55" s="813"/>
      <c r="J55" s="813"/>
      <c r="K55" s="813"/>
      <c r="L55" s="813"/>
      <c r="M55" s="813"/>
      <c r="N55" s="813"/>
      <c r="O55" s="813"/>
      <c r="P55" s="813"/>
      <c r="Q55" s="813"/>
      <c r="R55" s="813"/>
      <c r="S55" s="813"/>
      <c r="T55" s="813"/>
      <c r="U55" s="814"/>
      <c r="V55" s="815"/>
      <c r="W55" s="816"/>
      <c r="X55" s="815"/>
      <c r="Y55" s="817"/>
      <c r="Z55" s="818"/>
      <c r="AA55" s="815"/>
      <c r="AB55" s="819"/>
      <c r="AC55" s="815"/>
      <c r="AD55" s="815"/>
      <c r="AE55" s="815"/>
      <c r="AF55" s="815"/>
      <c r="AG55" s="815"/>
      <c r="AH55" s="815"/>
      <c r="AI55" s="815"/>
      <c r="AJ55" s="815"/>
      <c r="AK55" s="815"/>
    </row>
    <row r="56" spans="3:37" s="811" customFormat="1" ht="18" x14ac:dyDescent="0.25">
      <c r="C56" s="820" t="s">
        <v>350</v>
      </c>
      <c r="D56" s="812"/>
      <c r="E56" s="812"/>
      <c r="G56" s="813"/>
      <c r="H56" s="813"/>
      <c r="I56" s="813"/>
      <c r="J56" s="813">
        <f>SUM(J6:J18)</f>
        <v>75</v>
      </c>
      <c r="K56" s="813">
        <f t="shared" ref="K56:S56" si="10">SUM(K6:K18)</f>
        <v>250.32</v>
      </c>
      <c r="L56" s="813">
        <f t="shared" si="10"/>
        <v>0</v>
      </c>
      <c r="M56" s="813">
        <f t="shared" si="10"/>
        <v>63</v>
      </c>
      <c r="N56" s="813">
        <f t="shared" si="10"/>
        <v>371.13</v>
      </c>
      <c r="O56" s="813">
        <f t="shared" si="10"/>
        <v>125</v>
      </c>
      <c r="P56" s="813">
        <f t="shared" si="10"/>
        <v>0</v>
      </c>
      <c r="Q56" s="813">
        <f t="shared" si="10"/>
        <v>0</v>
      </c>
      <c r="R56" s="813">
        <f t="shared" si="10"/>
        <v>0</v>
      </c>
      <c r="S56" s="813">
        <f t="shared" si="10"/>
        <v>884.44999999999993</v>
      </c>
      <c r="T56" s="813"/>
      <c r="U56" s="814"/>
      <c r="V56" s="815"/>
      <c r="W56" s="816"/>
      <c r="X56" s="815"/>
      <c r="Y56" s="817"/>
      <c r="Z56" s="818"/>
      <c r="AA56" s="815"/>
      <c r="AB56" s="819"/>
      <c r="AC56" s="815"/>
      <c r="AD56" s="815"/>
      <c r="AE56" s="815"/>
      <c r="AF56" s="815"/>
      <c r="AG56" s="815"/>
      <c r="AH56" s="815"/>
      <c r="AI56" s="815"/>
      <c r="AJ56" s="815"/>
      <c r="AK56" s="815"/>
    </row>
    <row r="57" spans="3:37" s="823" customFormat="1" ht="18" x14ac:dyDescent="0.25">
      <c r="C57" s="821" t="s">
        <v>351</v>
      </c>
      <c r="D57" s="822"/>
      <c r="E57" s="822"/>
      <c r="G57" s="824"/>
      <c r="H57" s="824"/>
      <c r="I57" s="824"/>
      <c r="J57" s="824">
        <f>SUM(J19:J28)</f>
        <v>75</v>
      </c>
      <c r="K57" s="824">
        <f t="shared" ref="K57:S57" si="11">SUM(K19:K28)</f>
        <v>255.36</v>
      </c>
      <c r="L57" s="824">
        <f t="shared" si="11"/>
        <v>308.91000000000003</v>
      </c>
      <c r="M57" s="824">
        <f t="shared" si="11"/>
        <v>0</v>
      </c>
      <c r="N57" s="824">
        <f t="shared" si="11"/>
        <v>0</v>
      </c>
      <c r="O57" s="824">
        <f t="shared" si="11"/>
        <v>0</v>
      </c>
      <c r="P57" s="824">
        <f t="shared" si="11"/>
        <v>0</v>
      </c>
      <c r="Q57" s="824">
        <f t="shared" si="11"/>
        <v>20</v>
      </c>
      <c r="R57" s="824">
        <f t="shared" si="11"/>
        <v>12.6</v>
      </c>
      <c r="S57" s="824">
        <f t="shared" si="11"/>
        <v>671.87000000000012</v>
      </c>
      <c r="T57" s="824"/>
      <c r="U57" s="825"/>
      <c r="V57" s="826"/>
      <c r="W57" s="827"/>
      <c r="X57" s="826"/>
      <c r="Y57" s="828"/>
      <c r="Z57" s="829"/>
      <c r="AA57" s="826"/>
      <c r="AB57" s="830"/>
      <c r="AC57" s="826"/>
      <c r="AD57" s="826"/>
      <c r="AE57" s="826"/>
      <c r="AF57" s="826"/>
      <c r="AG57" s="826"/>
      <c r="AH57" s="826"/>
      <c r="AI57" s="826"/>
      <c r="AJ57" s="826"/>
      <c r="AK57" s="826"/>
    </row>
    <row r="58" spans="3:37" s="833" customFormat="1" ht="18" x14ac:dyDescent="0.25">
      <c r="C58" s="831" t="s">
        <v>34</v>
      </c>
      <c r="D58" s="832"/>
      <c r="E58" s="832"/>
      <c r="G58" s="834"/>
      <c r="H58" s="834"/>
      <c r="I58" s="834"/>
      <c r="J58" s="834">
        <f>SUM(J56:J57)</f>
        <v>150</v>
      </c>
      <c r="K58" s="834">
        <f t="shared" ref="K58:S58" si="12">SUM(K56:K57)</f>
        <v>505.68</v>
      </c>
      <c r="L58" s="834">
        <f t="shared" si="12"/>
        <v>308.91000000000003</v>
      </c>
      <c r="M58" s="834">
        <f t="shared" si="12"/>
        <v>63</v>
      </c>
      <c r="N58" s="834">
        <f t="shared" si="12"/>
        <v>371.13</v>
      </c>
      <c r="O58" s="834">
        <f t="shared" si="12"/>
        <v>125</v>
      </c>
      <c r="P58" s="834">
        <f t="shared" si="12"/>
        <v>0</v>
      </c>
      <c r="Q58" s="834">
        <f t="shared" si="12"/>
        <v>20</v>
      </c>
      <c r="R58" s="834">
        <f t="shared" si="12"/>
        <v>12.6</v>
      </c>
      <c r="S58" s="834">
        <f t="shared" si="12"/>
        <v>1556.3200000000002</v>
      </c>
      <c r="T58" s="834"/>
      <c r="U58" s="835"/>
      <c r="V58" s="836"/>
      <c r="W58" s="837"/>
      <c r="X58" s="836"/>
      <c r="Y58" s="838"/>
      <c r="Z58" s="839"/>
      <c r="AA58" s="836"/>
      <c r="AB58" s="840"/>
      <c r="AC58" s="836"/>
      <c r="AD58" s="836"/>
      <c r="AE58" s="836"/>
      <c r="AF58" s="836"/>
      <c r="AG58" s="836"/>
      <c r="AH58" s="836"/>
      <c r="AI58" s="836"/>
      <c r="AJ58" s="836"/>
      <c r="AK58" s="836"/>
    </row>
    <row r="59" spans="3:37" s="811" customFormat="1" ht="18" x14ac:dyDescent="0.25">
      <c r="D59" s="812"/>
      <c r="E59" s="812"/>
      <c r="G59" s="813"/>
      <c r="H59" s="813"/>
      <c r="I59" s="813"/>
      <c r="J59" s="813"/>
      <c r="K59" s="813"/>
      <c r="L59" s="813"/>
      <c r="M59" s="813"/>
      <c r="N59" s="813"/>
      <c r="O59" s="813"/>
      <c r="P59" s="813"/>
      <c r="Q59" s="813"/>
      <c r="R59" s="813"/>
      <c r="S59" s="813"/>
      <c r="T59" s="813"/>
      <c r="U59" s="814"/>
      <c r="V59" s="815"/>
      <c r="W59" s="816"/>
      <c r="X59" s="815"/>
      <c r="Y59" s="817"/>
      <c r="Z59" s="818"/>
      <c r="AA59" s="815"/>
      <c r="AB59" s="819"/>
      <c r="AC59" s="815"/>
      <c r="AD59" s="815"/>
      <c r="AE59" s="815"/>
      <c r="AF59" s="815"/>
      <c r="AG59" s="815"/>
      <c r="AH59" s="815"/>
      <c r="AI59" s="815"/>
      <c r="AJ59" s="815"/>
      <c r="AK59" s="815"/>
    </row>
    <row r="60" spans="3:37" s="811" customFormat="1" ht="18" x14ac:dyDescent="0.25">
      <c r="D60" s="812"/>
      <c r="E60" s="812"/>
      <c r="G60" s="813"/>
      <c r="H60" s="813"/>
      <c r="I60" s="813"/>
      <c r="J60" s="813"/>
      <c r="K60" s="813"/>
      <c r="L60" s="813"/>
      <c r="M60" s="813"/>
      <c r="N60" s="813"/>
      <c r="O60" s="813"/>
      <c r="P60" s="813"/>
      <c r="Q60" s="813"/>
      <c r="R60" s="813"/>
      <c r="S60" s="813"/>
      <c r="T60" s="813"/>
      <c r="U60" s="814"/>
      <c r="V60" s="815"/>
      <c r="W60" s="816"/>
      <c r="X60" s="815"/>
      <c r="Y60" s="817"/>
      <c r="Z60" s="818"/>
      <c r="AA60" s="815"/>
      <c r="AB60" s="819"/>
      <c r="AC60" s="815"/>
      <c r="AD60" s="815"/>
      <c r="AE60" s="815"/>
      <c r="AF60" s="815"/>
      <c r="AG60" s="815"/>
      <c r="AH60" s="815"/>
      <c r="AI60" s="815"/>
      <c r="AJ60" s="815"/>
      <c r="AK60" s="815"/>
    </row>
    <row r="61" spans="3:37" x14ac:dyDescent="0.25"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</row>
    <row r="62" spans="3:37" x14ac:dyDescent="0.25"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</row>
    <row r="63" spans="3:37" x14ac:dyDescent="0.25"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</row>
    <row r="64" spans="3:37" x14ac:dyDescent="0.25"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</row>
    <row r="65" spans="7:20" s="155" customFormat="1" ht="15" x14ac:dyDescent="0.25"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</row>
    <row r="66" spans="7:20" s="155" customFormat="1" ht="15" x14ac:dyDescent="0.25"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</row>
    <row r="67" spans="7:20" s="155" customFormat="1" ht="15" x14ac:dyDescent="0.25"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7:20" s="155" customFormat="1" ht="15" x14ac:dyDescent="0.25"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</row>
    <row r="69" spans="7:20" s="155" customFormat="1" ht="15" x14ac:dyDescent="0.25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</row>
    <row r="70" spans="7:20" s="155" customFormat="1" ht="15" x14ac:dyDescent="0.25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</row>
    <row r="71" spans="7:20" s="155" customFormat="1" ht="15" x14ac:dyDescent="0.25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</row>
    <row r="72" spans="7:20" s="155" customFormat="1" ht="15" x14ac:dyDescent="0.25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</row>
    <row r="73" spans="7:20" s="155" customFormat="1" ht="15" x14ac:dyDescent="0.25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</row>
    <row r="74" spans="7:20" s="155" customFormat="1" ht="15" x14ac:dyDescent="0.25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</row>
    <row r="75" spans="7:20" s="155" customFormat="1" ht="15" x14ac:dyDescent="0.25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</row>
    <row r="76" spans="7:20" s="155" customFormat="1" ht="15" x14ac:dyDescent="0.25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</row>
    <row r="77" spans="7:20" s="155" customFormat="1" ht="15" x14ac:dyDescent="0.25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  <row r="78" spans="7:20" s="155" customFormat="1" ht="15" x14ac:dyDescent="0.25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</row>
    <row r="79" spans="7:20" s="155" customFormat="1" ht="15" x14ac:dyDescent="0.25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</row>
    <row r="80" spans="7:20" s="155" customFormat="1" ht="15" x14ac:dyDescent="0.25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</row>
    <row r="81" spans="7:20" s="155" customFormat="1" ht="15" x14ac:dyDescent="0.25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</row>
    <row r="82" spans="7:20" s="155" customFormat="1" ht="15" x14ac:dyDescent="0.25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</row>
    <row r="83" spans="7:20" s="155" customFormat="1" ht="15" x14ac:dyDescent="0.25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</row>
    <row r="84" spans="7:20" s="155" customFormat="1" ht="15" x14ac:dyDescent="0.25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</row>
    <row r="85" spans="7:20" s="155" customFormat="1" ht="15" x14ac:dyDescent="0.25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</row>
    <row r="86" spans="7:20" s="155" customFormat="1" ht="15" x14ac:dyDescent="0.25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</row>
    <row r="87" spans="7:20" s="155" customFormat="1" ht="15" x14ac:dyDescent="0.25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</row>
    <row r="88" spans="7:20" s="155" customFormat="1" ht="15" x14ac:dyDescent="0.25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</row>
    <row r="89" spans="7:20" s="155" customFormat="1" ht="15" x14ac:dyDescent="0.25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</row>
    <row r="90" spans="7:20" s="155" customFormat="1" ht="15" x14ac:dyDescent="0.25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</row>
    <row r="91" spans="7:20" s="155" customFormat="1" ht="15" x14ac:dyDescent="0.25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</row>
    <row r="92" spans="7:20" s="155" customFormat="1" ht="15" x14ac:dyDescent="0.25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</row>
    <row r="93" spans="7:20" s="155" customFormat="1" ht="15" x14ac:dyDescent="0.25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</row>
    <row r="94" spans="7:20" s="155" customFormat="1" ht="15" x14ac:dyDescent="0.25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</row>
    <row r="95" spans="7:20" s="155" customFormat="1" ht="15" x14ac:dyDescent="0.25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</row>
    <row r="96" spans="7:20" s="155" customFormat="1" ht="15" x14ac:dyDescent="0.25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</row>
    <row r="97" spans="7:20" s="155" customFormat="1" ht="15" x14ac:dyDescent="0.25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</row>
    <row r="98" spans="7:20" s="155" customFormat="1" ht="15" x14ac:dyDescent="0.25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</row>
    <row r="99" spans="7:20" s="155" customFormat="1" ht="15" x14ac:dyDescent="0.25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</row>
    <row r="100" spans="7:20" s="155" customFormat="1" ht="15" x14ac:dyDescent="0.25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</row>
    <row r="101" spans="7:20" s="155" customFormat="1" ht="15" x14ac:dyDescent="0.25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</row>
    <row r="102" spans="7:20" s="155" customFormat="1" ht="15" x14ac:dyDescent="0.25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</row>
    <row r="103" spans="7:20" s="155" customFormat="1" ht="15" x14ac:dyDescent="0.25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</row>
    <row r="104" spans="7:20" s="155" customFormat="1" ht="15" x14ac:dyDescent="0.25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</row>
    <row r="105" spans="7:20" s="155" customFormat="1" ht="15" x14ac:dyDescent="0.25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</row>
    <row r="106" spans="7:20" s="155" customFormat="1" ht="15" x14ac:dyDescent="0.25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</row>
    <row r="107" spans="7:20" s="155" customFormat="1" ht="15" x14ac:dyDescent="0.25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</row>
    <row r="108" spans="7:20" s="155" customFormat="1" ht="15" x14ac:dyDescent="0.25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</row>
    <row r="109" spans="7:20" s="155" customFormat="1" ht="15" x14ac:dyDescent="0.25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</row>
    <row r="110" spans="7:20" s="155" customFormat="1" ht="15" x14ac:dyDescent="0.25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</row>
    <row r="111" spans="7:20" s="155" customFormat="1" ht="15" x14ac:dyDescent="0.25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</row>
    <row r="112" spans="7:20" s="155" customFormat="1" ht="15" x14ac:dyDescent="0.25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</row>
    <row r="113" spans="7:20" s="155" customFormat="1" ht="15" x14ac:dyDescent="0.25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</row>
    <row r="114" spans="7:20" s="155" customFormat="1" ht="15" x14ac:dyDescent="0.25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</row>
    <row r="115" spans="7:20" s="155" customFormat="1" ht="15" x14ac:dyDescent="0.25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</row>
    <row r="116" spans="7:20" s="155" customFormat="1" ht="15" x14ac:dyDescent="0.25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</row>
    <row r="117" spans="7:20" s="155" customFormat="1" ht="15" x14ac:dyDescent="0.25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</row>
    <row r="118" spans="7:20" s="155" customFormat="1" ht="15" x14ac:dyDescent="0.25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</row>
    <row r="119" spans="7:20" s="155" customFormat="1" ht="15" x14ac:dyDescent="0.25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</row>
    <row r="120" spans="7:20" s="155" customFormat="1" ht="15" x14ac:dyDescent="0.25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</row>
    <row r="121" spans="7:20" s="155" customFormat="1" ht="15" x14ac:dyDescent="0.25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</row>
    <row r="122" spans="7:20" s="155" customFormat="1" ht="15" x14ac:dyDescent="0.25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</row>
    <row r="123" spans="7:20" s="155" customFormat="1" ht="15" x14ac:dyDescent="0.25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</row>
    <row r="124" spans="7:20" s="155" customFormat="1" ht="15" x14ac:dyDescent="0.25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</row>
    <row r="125" spans="7:20" s="155" customFormat="1" ht="15" x14ac:dyDescent="0.25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</row>
    <row r="126" spans="7:20" s="155" customFormat="1" ht="15" x14ac:dyDescent="0.25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</row>
    <row r="127" spans="7:20" s="155" customFormat="1" ht="15" x14ac:dyDescent="0.25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</row>
    <row r="128" spans="7:20" s="155" customFormat="1" ht="15" x14ac:dyDescent="0.25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</row>
    <row r="129" spans="7:20" s="155" customFormat="1" ht="15" x14ac:dyDescent="0.25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</row>
    <row r="130" spans="7:20" s="155" customFormat="1" ht="15" x14ac:dyDescent="0.25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</row>
    <row r="131" spans="7:20" s="155" customFormat="1" ht="15" x14ac:dyDescent="0.25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</row>
    <row r="132" spans="7:20" s="155" customFormat="1" ht="15" x14ac:dyDescent="0.25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</row>
    <row r="133" spans="7:20" s="155" customFormat="1" ht="15" x14ac:dyDescent="0.25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</row>
    <row r="134" spans="7:20" s="155" customFormat="1" ht="15" x14ac:dyDescent="0.25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</row>
    <row r="135" spans="7:20" s="155" customFormat="1" ht="15" x14ac:dyDescent="0.25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</row>
    <row r="136" spans="7:20" s="155" customFormat="1" ht="15" x14ac:dyDescent="0.25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</row>
    <row r="137" spans="7:20" s="155" customFormat="1" ht="15" x14ac:dyDescent="0.25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</row>
    <row r="138" spans="7:20" s="155" customFormat="1" ht="15" x14ac:dyDescent="0.25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</row>
    <row r="139" spans="7:20" s="155" customFormat="1" ht="15" x14ac:dyDescent="0.25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</row>
    <row r="140" spans="7:20" s="155" customFormat="1" ht="15" x14ac:dyDescent="0.25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</row>
    <row r="141" spans="7:20" s="155" customFormat="1" ht="15" x14ac:dyDescent="0.25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</row>
    <row r="142" spans="7:20" s="155" customFormat="1" ht="15" x14ac:dyDescent="0.25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</row>
    <row r="143" spans="7:20" s="155" customFormat="1" ht="15" x14ac:dyDescent="0.25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</row>
    <row r="144" spans="7:20" s="155" customFormat="1" ht="15" x14ac:dyDescent="0.25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</row>
    <row r="145" spans="7:20" s="155" customFormat="1" ht="15" x14ac:dyDescent="0.25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</row>
    <row r="146" spans="7:20" s="155" customFormat="1" ht="15" x14ac:dyDescent="0.25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</row>
    <row r="147" spans="7:20" s="155" customFormat="1" ht="15" x14ac:dyDescent="0.25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</row>
    <row r="148" spans="7:20" s="155" customFormat="1" ht="15" x14ac:dyDescent="0.25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</row>
    <row r="149" spans="7:20" s="155" customFormat="1" ht="15" x14ac:dyDescent="0.25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</row>
    <row r="150" spans="7:20" s="155" customFormat="1" ht="15" x14ac:dyDescent="0.25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</row>
    <row r="151" spans="7:20" s="155" customFormat="1" ht="15" x14ac:dyDescent="0.25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</row>
    <row r="152" spans="7:20" s="155" customFormat="1" ht="15" x14ac:dyDescent="0.25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</row>
    <row r="153" spans="7:20" s="155" customFormat="1" ht="15" x14ac:dyDescent="0.25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</row>
    <row r="154" spans="7:20" s="155" customFormat="1" ht="15" x14ac:dyDescent="0.25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</row>
    <row r="155" spans="7:20" s="155" customFormat="1" ht="15" x14ac:dyDescent="0.25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</row>
    <row r="156" spans="7:20" s="155" customFormat="1" ht="15" x14ac:dyDescent="0.25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</row>
    <row r="157" spans="7:20" s="155" customFormat="1" ht="15" x14ac:dyDescent="0.25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</row>
    <row r="158" spans="7:20" s="155" customFormat="1" ht="15" x14ac:dyDescent="0.25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</row>
    <row r="159" spans="7:20" s="155" customFormat="1" ht="15" x14ac:dyDescent="0.25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</row>
    <row r="160" spans="7:20" s="155" customFormat="1" ht="15" x14ac:dyDescent="0.25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</row>
    <row r="161" spans="7:20" s="155" customFormat="1" ht="15" x14ac:dyDescent="0.25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</row>
    <row r="162" spans="7:20" s="155" customFormat="1" ht="15" x14ac:dyDescent="0.25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</row>
    <row r="163" spans="7:20" s="155" customFormat="1" ht="15" x14ac:dyDescent="0.25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</row>
    <row r="164" spans="7:20" s="155" customFormat="1" ht="15" x14ac:dyDescent="0.25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</row>
    <row r="165" spans="7:20" s="155" customFormat="1" ht="15" x14ac:dyDescent="0.25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</row>
    <row r="166" spans="7:20" s="155" customFormat="1" ht="15" x14ac:dyDescent="0.25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</row>
    <row r="167" spans="7:20" s="155" customFormat="1" ht="15" x14ac:dyDescent="0.25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</row>
    <row r="168" spans="7:20" s="155" customFormat="1" ht="15" x14ac:dyDescent="0.25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</row>
    <row r="169" spans="7:20" s="155" customFormat="1" ht="15" x14ac:dyDescent="0.25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</row>
    <row r="170" spans="7:20" s="155" customFormat="1" ht="15" x14ac:dyDescent="0.25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</row>
    <row r="171" spans="7:20" s="155" customFormat="1" ht="15" x14ac:dyDescent="0.25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</row>
    <row r="172" spans="7:20" s="155" customFormat="1" ht="15" x14ac:dyDescent="0.25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</row>
    <row r="173" spans="7:20" s="155" customFormat="1" ht="15" x14ac:dyDescent="0.25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</row>
    <row r="174" spans="7:20" s="155" customFormat="1" ht="15" x14ac:dyDescent="0.25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</row>
    <row r="175" spans="7:20" s="155" customFormat="1" ht="15" x14ac:dyDescent="0.25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</row>
    <row r="176" spans="7:20" s="155" customFormat="1" ht="15" x14ac:dyDescent="0.25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</row>
    <row r="177" spans="7:20" s="155" customFormat="1" ht="15" x14ac:dyDescent="0.25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</row>
    <row r="178" spans="7:20" s="155" customFormat="1" ht="15" x14ac:dyDescent="0.25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</row>
    <row r="179" spans="7:20" s="155" customFormat="1" ht="15" x14ac:dyDescent="0.25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</row>
    <row r="180" spans="7:20" s="155" customFormat="1" ht="15" x14ac:dyDescent="0.25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</row>
    <row r="181" spans="7:20" s="155" customFormat="1" ht="15" x14ac:dyDescent="0.25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</row>
    <row r="182" spans="7:20" s="155" customFormat="1" ht="15" x14ac:dyDescent="0.25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</row>
    <row r="183" spans="7:20" s="155" customFormat="1" ht="15" x14ac:dyDescent="0.25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</row>
    <row r="184" spans="7:20" s="155" customFormat="1" ht="15" x14ac:dyDescent="0.25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</row>
    <row r="185" spans="7:20" s="155" customFormat="1" ht="15" x14ac:dyDescent="0.25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</row>
    <row r="186" spans="7:20" s="155" customFormat="1" ht="15" x14ac:dyDescent="0.25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</row>
    <row r="187" spans="7:20" s="155" customFormat="1" ht="15" x14ac:dyDescent="0.25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</row>
    <row r="188" spans="7:20" s="155" customFormat="1" ht="15" x14ac:dyDescent="0.25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</row>
    <row r="189" spans="7:20" s="155" customFormat="1" ht="15" x14ac:dyDescent="0.25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</row>
    <row r="190" spans="7:20" s="155" customFormat="1" ht="15" x14ac:dyDescent="0.25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</row>
    <row r="191" spans="7:20" s="155" customFormat="1" ht="15" x14ac:dyDescent="0.25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</row>
    <row r="192" spans="7:20" s="155" customFormat="1" ht="15" x14ac:dyDescent="0.25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</row>
    <row r="193" spans="7:20" s="155" customFormat="1" ht="15" x14ac:dyDescent="0.25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</row>
    <row r="194" spans="7:20" s="155" customFormat="1" ht="15" x14ac:dyDescent="0.25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</row>
    <row r="195" spans="7:20" s="155" customFormat="1" ht="15" x14ac:dyDescent="0.25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</row>
    <row r="196" spans="7:20" s="155" customFormat="1" ht="15" x14ac:dyDescent="0.25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</row>
    <row r="197" spans="7:20" s="155" customFormat="1" ht="15" x14ac:dyDescent="0.25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</row>
    <row r="198" spans="7:20" s="155" customFormat="1" ht="15" x14ac:dyDescent="0.25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</row>
    <row r="199" spans="7:20" s="155" customFormat="1" ht="15" x14ac:dyDescent="0.25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</row>
    <row r="200" spans="7:20" s="155" customFormat="1" ht="15" x14ac:dyDescent="0.25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</row>
    <row r="201" spans="7:20" s="155" customFormat="1" ht="15" x14ac:dyDescent="0.25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</row>
    <row r="202" spans="7:20" s="155" customFormat="1" ht="15" x14ac:dyDescent="0.25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</row>
    <row r="203" spans="7:20" s="155" customFormat="1" ht="15" x14ac:dyDescent="0.25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</row>
    <row r="204" spans="7:20" s="155" customFormat="1" ht="15" x14ac:dyDescent="0.25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</row>
    <row r="205" spans="7:20" s="155" customFormat="1" ht="15" x14ac:dyDescent="0.25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</row>
    <row r="206" spans="7:20" s="155" customFormat="1" ht="15" x14ac:dyDescent="0.25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</row>
    <row r="207" spans="7:20" s="155" customFormat="1" ht="15" x14ac:dyDescent="0.25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</row>
    <row r="208" spans="7:20" s="155" customFormat="1" ht="15" x14ac:dyDescent="0.25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</row>
    <row r="209" spans="7:20" s="155" customFormat="1" ht="15" x14ac:dyDescent="0.25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</row>
    <row r="210" spans="7:20" s="155" customFormat="1" ht="18.75" customHeight="1" x14ac:dyDescent="0.25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</row>
    <row r="211" spans="7:20" s="155" customFormat="1" ht="18.75" customHeight="1" x14ac:dyDescent="0.25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</row>
    <row r="212" spans="7:20" s="155" customFormat="1" ht="18.75" customHeight="1" x14ac:dyDescent="0.25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</row>
    <row r="213" spans="7:20" s="155" customFormat="1" ht="18.75" customHeight="1" x14ac:dyDescent="0.25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</row>
  </sheetData>
  <mergeCells count="3">
    <mergeCell ref="B2:E2"/>
    <mergeCell ref="G2:I2"/>
    <mergeCell ref="J2:R2"/>
  </mergeCells>
  <conditionalFormatting sqref="J5:R5">
    <cfRule type="expression" dxfId="3" priority="2">
      <formula>"&lt;0"</formula>
    </cfRule>
  </conditionalFormatting>
  <conditionalFormatting sqref="G5:I5">
    <cfRule type="expression" dxfId="2" priority="1">
      <formula>"&lt;0"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225"/>
  <sheetViews>
    <sheetView zoomScale="80" zoomScaleNormal="80" zoomScalePageLayoutView="80" workbookViewId="0">
      <pane ySplit="1720" activePane="bottomLeft"/>
      <selection pane="bottomLeft" activeCell="S76" sqref="S76:S77"/>
    </sheetView>
  </sheetViews>
  <sheetFormatPr baseColWidth="10" defaultColWidth="9.1640625" defaultRowHeight="19" x14ac:dyDescent="0.25"/>
  <cols>
    <col min="1" max="1" width="1.33203125" style="155" customWidth="1"/>
    <col min="2" max="2" width="11.83203125" style="155" customWidth="1"/>
    <col min="3" max="3" width="19.6640625" style="155" customWidth="1"/>
    <col min="4" max="4" width="51.5" style="267" customWidth="1"/>
    <col min="5" max="5" width="30.1640625" style="267" customWidth="1"/>
    <col min="6" max="18" width="12.83203125" style="155" customWidth="1"/>
    <col min="19" max="19" width="13.83203125" style="155" customWidth="1"/>
    <col min="20" max="20" width="15.1640625" style="155" customWidth="1"/>
    <col min="21" max="21" width="10.5" style="269" hidden="1" customWidth="1"/>
    <col min="22" max="22" width="1.33203125" style="159" customWidth="1"/>
    <col min="23" max="23" width="20.1640625" style="203" customWidth="1"/>
    <col min="24" max="24" width="15.33203125" style="159" customWidth="1"/>
    <col min="25" max="25" width="13.5" style="160" bestFit="1" customWidth="1"/>
    <col min="26" max="26" width="9.1640625" style="161"/>
    <col min="27" max="27" width="2.5" style="159" customWidth="1"/>
    <col min="28" max="28" width="9.83203125" style="266" customWidth="1"/>
    <col min="29" max="29" width="30.83203125" style="163" customWidth="1"/>
    <col min="30" max="30" width="1.6640625" style="163" customWidth="1"/>
    <col min="31" max="37" width="9.1640625" style="159"/>
    <col min="38" max="16384" width="9.1640625" style="155"/>
  </cols>
  <sheetData>
    <row r="2" spans="2:37" ht="30" x14ac:dyDescent="0.3">
      <c r="B2" s="1228" t="s">
        <v>413</v>
      </c>
      <c r="C2" s="1228"/>
      <c r="D2" s="1228"/>
      <c r="E2" s="1228"/>
      <c r="F2" s="1228"/>
      <c r="G2" s="1228"/>
      <c r="H2" s="1228"/>
      <c r="I2" s="1228"/>
      <c r="J2" s="1228"/>
      <c r="K2" s="1228"/>
      <c r="L2" s="1228"/>
      <c r="M2" s="1228"/>
      <c r="N2" s="1228"/>
      <c r="O2" s="1228"/>
      <c r="P2" s="1228"/>
      <c r="Q2" s="1228"/>
      <c r="R2" s="1228"/>
      <c r="S2" s="1228"/>
      <c r="T2" s="1228"/>
    </row>
    <row r="3" spans="2:37" ht="20" thickBot="1" x14ac:dyDescent="0.3"/>
    <row r="4" spans="2:37" s="269" customFormat="1" ht="19.5" customHeight="1" thickTop="1" x14ac:dyDescent="0.25">
      <c r="B4" s="1214" t="s">
        <v>353</v>
      </c>
      <c r="C4" s="1215"/>
      <c r="D4" s="1215"/>
      <c r="E4" s="1216"/>
      <c r="F4" s="495"/>
      <c r="G4" s="1217" t="s">
        <v>174</v>
      </c>
      <c r="H4" s="1218"/>
      <c r="I4" s="1219"/>
      <c r="J4" s="1220" t="s">
        <v>175</v>
      </c>
      <c r="K4" s="1221"/>
      <c r="L4" s="1221"/>
      <c r="M4" s="1221"/>
      <c r="N4" s="1221"/>
      <c r="O4" s="1221"/>
      <c r="P4" s="1221"/>
      <c r="Q4" s="1221"/>
      <c r="R4" s="1221"/>
      <c r="S4" s="496"/>
      <c r="T4" s="497"/>
      <c r="U4" s="907"/>
      <c r="V4" s="908"/>
      <c r="W4" s="273"/>
      <c r="X4" s="180"/>
      <c r="Y4" s="404"/>
      <c r="Z4" s="161"/>
      <c r="AA4" s="180"/>
      <c r="AB4" s="405"/>
      <c r="AC4" s="182"/>
      <c r="AD4" s="182"/>
      <c r="AE4" s="180"/>
      <c r="AF4" s="180"/>
      <c r="AG4" s="180"/>
      <c r="AH4" s="180"/>
      <c r="AI4" s="180"/>
      <c r="AJ4" s="180"/>
      <c r="AK4" s="180"/>
    </row>
    <row r="5" spans="2:37" s="286" customFormat="1" ht="52.5" customHeight="1" thickBot="1" x14ac:dyDescent="0.25">
      <c r="B5" s="498" t="s">
        <v>73</v>
      </c>
      <c r="C5" s="275" t="s">
        <v>74</v>
      </c>
      <c r="D5" s="276" t="s">
        <v>75</v>
      </c>
      <c r="E5" s="277" t="s">
        <v>76</v>
      </c>
      <c r="F5" s="278" t="s">
        <v>77</v>
      </c>
      <c r="G5" s="279" t="s">
        <v>78</v>
      </c>
      <c r="H5" s="275" t="s">
        <v>79</v>
      </c>
      <c r="I5" s="278" t="s">
        <v>80</v>
      </c>
      <c r="J5" s="279" t="s">
        <v>81</v>
      </c>
      <c r="K5" s="275" t="s">
        <v>82</v>
      </c>
      <c r="L5" s="275" t="s">
        <v>83</v>
      </c>
      <c r="M5" s="275" t="s">
        <v>84</v>
      </c>
      <c r="N5" s="275" t="s">
        <v>85</v>
      </c>
      <c r="O5" s="277" t="s">
        <v>127</v>
      </c>
      <c r="P5" s="277"/>
      <c r="Q5" s="277" t="s">
        <v>128</v>
      </c>
      <c r="R5" s="277" t="s">
        <v>80</v>
      </c>
      <c r="S5" s="280" t="s">
        <v>86</v>
      </c>
      <c r="T5" s="499" t="s">
        <v>87</v>
      </c>
      <c r="U5" s="728" t="s">
        <v>129</v>
      </c>
      <c r="V5" s="909"/>
      <c r="W5" s="283"/>
      <c r="X5" s="282"/>
      <c r="Y5" s="407"/>
      <c r="Z5" s="408"/>
      <c r="AA5" s="282"/>
      <c r="AB5" s="409"/>
      <c r="AC5" s="409"/>
      <c r="AD5" s="285"/>
      <c r="AE5" s="282"/>
      <c r="AF5" s="282"/>
      <c r="AG5" s="282"/>
      <c r="AH5" s="282"/>
      <c r="AI5" s="282"/>
      <c r="AJ5" s="282"/>
      <c r="AK5" s="282"/>
    </row>
    <row r="6" spans="2:37" s="180" customFormat="1" thickTop="1" x14ac:dyDescent="0.25">
      <c r="B6" s="500"/>
      <c r="C6" s="288"/>
      <c r="D6" s="288" t="s">
        <v>3</v>
      </c>
      <c r="E6" s="289"/>
      <c r="F6" s="290"/>
      <c r="G6" s="291">
        <f>1900+122.5</f>
        <v>2022.5</v>
      </c>
      <c r="H6" s="292">
        <v>0</v>
      </c>
      <c r="I6" s="293">
        <v>5.27</v>
      </c>
      <c r="J6" s="291">
        <v>150</v>
      </c>
      <c r="K6" s="292">
        <v>510</v>
      </c>
      <c r="L6" s="292">
        <v>309</v>
      </c>
      <c r="M6" s="847">
        <f>36+29</f>
        <v>65</v>
      </c>
      <c r="N6" s="292">
        <f>262+37+121</f>
        <v>420</v>
      </c>
      <c r="O6" s="294">
        <v>125</v>
      </c>
      <c r="P6" s="848"/>
      <c r="Q6" s="294">
        <v>16</v>
      </c>
      <c r="R6" s="294">
        <v>0</v>
      </c>
      <c r="S6" s="295">
        <f>SUM(J6:R6)</f>
        <v>1595</v>
      </c>
      <c r="T6" s="541">
        <v>797.33</v>
      </c>
      <c r="U6" s="731"/>
      <c r="V6" s="908"/>
      <c r="W6" s="273"/>
      <c r="Y6" s="160"/>
      <c r="Z6" s="161"/>
      <c r="AD6" s="171"/>
    </row>
    <row r="7" spans="2:37" s="180" customFormat="1" ht="20" thickBot="1" x14ac:dyDescent="0.3">
      <c r="B7" s="506"/>
      <c r="C7" s="299"/>
      <c r="D7" s="299" t="s">
        <v>130</v>
      </c>
      <c r="E7" s="300"/>
      <c r="F7" s="301"/>
      <c r="G7" s="302"/>
      <c r="H7" s="303"/>
      <c r="I7" s="304"/>
      <c r="J7" s="305">
        <f t="shared" ref="J7:R7" si="0">J6-J45</f>
        <v>-50</v>
      </c>
      <c r="K7" s="305">
        <f t="shared" si="0"/>
        <v>-1.5999999999999659</v>
      </c>
      <c r="L7" s="305">
        <f t="shared" si="0"/>
        <v>-1.2200000000000273</v>
      </c>
      <c r="M7" s="305">
        <f t="shared" si="0"/>
        <v>2</v>
      </c>
      <c r="N7" s="305">
        <f t="shared" si="0"/>
        <v>15.860000000000014</v>
      </c>
      <c r="O7" s="305">
        <f t="shared" si="0"/>
        <v>0</v>
      </c>
      <c r="P7" s="305">
        <f t="shared" si="0"/>
        <v>0</v>
      </c>
      <c r="Q7" s="305">
        <f t="shared" si="0"/>
        <v>16</v>
      </c>
      <c r="R7" s="306">
        <f t="shared" si="0"/>
        <v>-14.84</v>
      </c>
      <c r="S7" s="307">
        <f>SUM(J7:R7)</f>
        <v>-33.799999999999983</v>
      </c>
      <c r="T7" s="542"/>
      <c r="U7" s="732"/>
      <c r="V7" s="908"/>
      <c r="W7" s="273"/>
      <c r="Y7" s="160"/>
      <c r="Z7" s="161"/>
      <c r="AB7" s="181"/>
      <c r="AC7" s="182"/>
      <c r="AD7" s="182"/>
    </row>
    <row r="8" spans="2:37" s="180" customFormat="1" x14ac:dyDescent="0.25">
      <c r="B8" s="733">
        <v>41745</v>
      </c>
      <c r="C8" s="734" t="s">
        <v>140</v>
      </c>
      <c r="D8" s="735" t="s">
        <v>141</v>
      </c>
      <c r="E8" s="736"/>
      <c r="F8" s="737"/>
      <c r="G8" s="738">
        <v>950</v>
      </c>
      <c r="H8" s="739"/>
      <c r="I8" s="740"/>
      <c r="J8" s="738"/>
      <c r="K8" s="739"/>
      <c r="L8" s="739"/>
      <c r="M8" s="741"/>
      <c r="N8" s="741"/>
      <c r="O8" s="742"/>
      <c r="P8" s="742"/>
      <c r="Q8" s="742"/>
      <c r="R8" s="742"/>
      <c r="S8" s="743">
        <f t="shared" ref="S8:S18" si="1">SUM(J8:R8)</f>
        <v>0</v>
      </c>
      <c r="T8" s="544">
        <f>T6+SUM(G8:I8)-S8</f>
        <v>1747.33</v>
      </c>
      <c r="U8" s="849" t="s">
        <v>23</v>
      </c>
      <c r="V8" s="908"/>
      <c r="W8" s="745"/>
      <c r="Y8" s="160"/>
      <c r="Z8" s="161"/>
      <c r="AB8" s="181"/>
      <c r="AC8" s="182"/>
      <c r="AD8" s="182"/>
    </row>
    <row r="9" spans="2:37" s="180" customFormat="1" x14ac:dyDescent="0.25">
      <c r="B9" s="850">
        <v>41745</v>
      </c>
      <c r="C9" s="851" t="s">
        <v>140</v>
      </c>
      <c r="D9" s="852" t="s">
        <v>354</v>
      </c>
      <c r="E9" s="759"/>
      <c r="F9" s="853"/>
      <c r="G9" s="854">
        <v>139.25</v>
      </c>
      <c r="H9" s="855"/>
      <c r="I9" s="856"/>
      <c r="J9" s="854"/>
      <c r="K9" s="855"/>
      <c r="L9" s="855"/>
      <c r="M9" s="857"/>
      <c r="N9" s="857"/>
      <c r="O9" s="858"/>
      <c r="P9" s="858"/>
      <c r="Q9" s="858"/>
      <c r="R9" s="858"/>
      <c r="S9" s="373">
        <f t="shared" si="1"/>
        <v>0</v>
      </c>
      <c r="T9" s="556">
        <f t="shared" ref="T9:T10" si="2">T8+SUM(G9:I9)-S9</f>
        <v>1886.58</v>
      </c>
      <c r="U9" s="859" t="s">
        <v>23</v>
      </c>
      <c r="V9" s="908"/>
      <c r="W9" s="745"/>
      <c r="Y9" s="160"/>
      <c r="Z9" s="161"/>
      <c r="AB9" s="181"/>
      <c r="AC9" s="182"/>
      <c r="AD9" s="182"/>
    </row>
    <row r="10" spans="2:37" s="180" customFormat="1" x14ac:dyDescent="0.25">
      <c r="B10" s="696">
        <v>41732</v>
      </c>
      <c r="C10" s="215" t="s">
        <v>114</v>
      </c>
      <c r="D10" s="216" t="s">
        <v>300</v>
      </c>
      <c r="E10" s="325" t="s">
        <v>414</v>
      </c>
      <c r="F10" s="354">
        <v>100416</v>
      </c>
      <c r="G10" s="327"/>
      <c r="H10" s="221"/>
      <c r="I10" s="328"/>
      <c r="J10" s="329"/>
      <c r="K10" s="221"/>
      <c r="L10" s="221"/>
      <c r="M10" s="221"/>
      <c r="N10" s="221">
        <v>120</v>
      </c>
      <c r="O10" s="330"/>
      <c r="P10" s="330"/>
      <c r="Q10" s="330"/>
      <c r="R10" s="330"/>
      <c r="S10" s="373">
        <f t="shared" si="1"/>
        <v>120</v>
      </c>
      <c r="T10" s="556">
        <f t="shared" si="2"/>
        <v>1766.58</v>
      </c>
      <c r="U10" s="861" t="s">
        <v>23</v>
      </c>
      <c r="V10" s="908"/>
      <c r="W10" s="745"/>
      <c r="Y10" s="160"/>
      <c r="Z10" s="161"/>
      <c r="AB10" s="181"/>
      <c r="AC10" s="203"/>
      <c r="AD10" s="182"/>
    </row>
    <row r="11" spans="2:37" s="180" customFormat="1" x14ac:dyDescent="0.25">
      <c r="B11" s="695">
        <v>41736</v>
      </c>
      <c r="C11" s="206" t="s">
        <v>355</v>
      </c>
      <c r="D11" s="207" t="s">
        <v>356</v>
      </c>
      <c r="E11" s="325" t="s">
        <v>414</v>
      </c>
      <c r="F11" s="348">
        <v>100417</v>
      </c>
      <c r="G11" s="349"/>
      <c r="H11" s="212"/>
      <c r="I11" s="350"/>
      <c r="J11" s="349"/>
      <c r="K11" s="212"/>
      <c r="L11" s="212"/>
      <c r="M11" s="212"/>
      <c r="N11" s="212">
        <v>30</v>
      </c>
      <c r="O11" s="351"/>
      <c r="P11" s="351"/>
      <c r="Q11" s="351"/>
      <c r="R11" s="351"/>
      <c r="S11" s="373">
        <f t="shared" si="1"/>
        <v>30</v>
      </c>
      <c r="T11" s="556">
        <f>T10+SUM(G11:I11)-S11</f>
        <v>1736.58</v>
      </c>
      <c r="U11" s="859" t="s">
        <v>23</v>
      </c>
      <c r="V11" s="908"/>
      <c r="W11" s="745"/>
      <c r="Y11" s="160"/>
      <c r="Z11" s="161"/>
      <c r="AB11" s="181"/>
      <c r="AC11" s="203"/>
      <c r="AD11" s="182"/>
    </row>
    <row r="12" spans="2:37" s="159" customFormat="1" x14ac:dyDescent="0.25">
      <c r="B12" s="696">
        <v>41769</v>
      </c>
      <c r="C12" s="215" t="s">
        <v>357</v>
      </c>
      <c r="D12" s="216" t="s">
        <v>358</v>
      </c>
      <c r="E12" s="325" t="s">
        <v>414</v>
      </c>
      <c r="F12" s="326">
        <v>100418</v>
      </c>
      <c r="G12" s="327"/>
      <c r="H12" s="221"/>
      <c r="I12" s="328"/>
      <c r="J12" s="329"/>
      <c r="K12" s="221">
        <v>25.2</v>
      </c>
      <c r="L12" s="221"/>
      <c r="M12" s="221"/>
      <c r="N12" s="221"/>
      <c r="O12" s="330"/>
      <c r="P12" s="330"/>
      <c r="Q12" s="330"/>
      <c r="R12" s="330"/>
      <c r="S12" s="373">
        <f t="shared" si="1"/>
        <v>25.2</v>
      </c>
      <c r="T12" s="556">
        <f t="shared" ref="T12:T28" si="3">T11+SUM(G12:I12)-S12</f>
        <v>1711.3799999999999</v>
      </c>
      <c r="U12" s="861" t="s">
        <v>23</v>
      </c>
      <c r="V12" s="910"/>
      <c r="W12" s="334"/>
      <c r="Y12" s="160"/>
      <c r="Z12" s="161"/>
      <c r="AB12" s="181"/>
      <c r="AC12" s="203"/>
      <c r="AD12" s="163"/>
    </row>
    <row r="13" spans="2:37" s="159" customFormat="1" x14ac:dyDescent="0.25">
      <c r="B13" s="696">
        <v>41769</v>
      </c>
      <c r="C13" s="215" t="s">
        <v>137</v>
      </c>
      <c r="D13" s="216" t="s">
        <v>359</v>
      </c>
      <c r="E13" s="325" t="s">
        <v>414</v>
      </c>
      <c r="F13" s="326">
        <v>100419</v>
      </c>
      <c r="G13" s="327"/>
      <c r="H13" s="221"/>
      <c r="I13" s="328"/>
      <c r="J13" s="329"/>
      <c r="K13" s="221">
        <v>101.22</v>
      </c>
      <c r="L13" s="221"/>
      <c r="M13" s="221"/>
      <c r="N13" s="221"/>
      <c r="O13" s="330"/>
      <c r="P13" s="330"/>
      <c r="Q13" s="330"/>
      <c r="R13" s="330"/>
      <c r="S13" s="373">
        <f t="shared" si="1"/>
        <v>101.22</v>
      </c>
      <c r="T13" s="556">
        <f t="shared" si="3"/>
        <v>1610.1599999999999</v>
      </c>
      <c r="U13" s="861" t="s">
        <v>23</v>
      </c>
      <c r="V13" s="910"/>
      <c r="W13" s="334" t="s">
        <v>360</v>
      </c>
      <c r="Y13" s="160"/>
      <c r="Z13" s="161"/>
      <c r="AB13" s="181"/>
      <c r="AC13" s="203"/>
      <c r="AD13" s="163"/>
    </row>
    <row r="14" spans="2:37" s="159" customFormat="1" x14ac:dyDescent="0.25">
      <c r="B14" s="746">
        <v>41857</v>
      </c>
      <c r="C14" s="747" t="s">
        <v>163</v>
      </c>
      <c r="D14" s="748" t="s">
        <v>361</v>
      </c>
      <c r="E14" s="759"/>
      <c r="F14" s="750"/>
      <c r="G14" s="762"/>
      <c r="H14" s="752"/>
      <c r="I14" s="753">
        <v>12.6</v>
      </c>
      <c r="J14" s="751"/>
      <c r="K14" s="752"/>
      <c r="L14" s="752"/>
      <c r="M14" s="752"/>
      <c r="N14" s="752"/>
      <c r="O14" s="808"/>
      <c r="P14" s="808"/>
      <c r="Q14" s="808"/>
      <c r="R14" s="808"/>
      <c r="S14" s="373">
        <f t="shared" ref="S14:S16" si="4">SUM(J14:R14)</f>
        <v>0</v>
      </c>
      <c r="T14" s="556">
        <f t="shared" si="3"/>
        <v>1622.7599999999998</v>
      </c>
      <c r="U14" s="861" t="s">
        <v>23</v>
      </c>
      <c r="V14" s="910"/>
      <c r="W14" s="334" t="s">
        <v>362</v>
      </c>
      <c r="Y14" s="160"/>
      <c r="Z14" s="161"/>
      <c r="AB14" s="181"/>
      <c r="AC14" s="203"/>
      <c r="AD14" s="163"/>
    </row>
    <row r="15" spans="2:37" s="159" customFormat="1" x14ac:dyDescent="0.25">
      <c r="B15" s="746">
        <v>41904</v>
      </c>
      <c r="C15" s="747" t="s">
        <v>140</v>
      </c>
      <c r="D15" s="758" t="s">
        <v>187</v>
      </c>
      <c r="E15" s="759"/>
      <c r="F15" s="750"/>
      <c r="G15" s="854">
        <v>950</v>
      </c>
      <c r="H15" s="760"/>
      <c r="I15" s="761"/>
      <c r="J15" s="762"/>
      <c r="K15" s="760"/>
      <c r="L15" s="760"/>
      <c r="M15" s="763"/>
      <c r="N15" s="760"/>
      <c r="O15" s="764"/>
      <c r="P15" s="764"/>
      <c r="Q15" s="764"/>
      <c r="R15" s="764"/>
      <c r="S15" s="373">
        <f t="shared" si="4"/>
        <v>0</v>
      </c>
      <c r="T15" s="556">
        <f t="shared" si="3"/>
        <v>2572.7599999999998</v>
      </c>
      <c r="U15" s="861" t="s">
        <v>23</v>
      </c>
      <c r="V15" s="910"/>
      <c r="W15" s="334" t="s">
        <v>362</v>
      </c>
      <c r="Y15" s="160"/>
      <c r="Z15" s="161"/>
      <c r="AB15" s="181"/>
      <c r="AC15" s="203"/>
      <c r="AD15" s="163"/>
    </row>
    <row r="16" spans="2:37" s="159" customFormat="1" x14ac:dyDescent="0.25">
      <c r="B16" s="696">
        <v>41912</v>
      </c>
      <c r="C16" s="215" t="s">
        <v>357</v>
      </c>
      <c r="D16" s="216" t="s">
        <v>363</v>
      </c>
      <c r="E16" s="435" t="s">
        <v>364</v>
      </c>
      <c r="F16" s="354">
        <v>100421</v>
      </c>
      <c r="G16" s="327"/>
      <c r="H16" s="221"/>
      <c r="I16" s="328"/>
      <c r="J16" s="329"/>
      <c r="K16" s="221">
        <v>25.2</v>
      </c>
      <c r="L16" s="221"/>
      <c r="M16" s="221"/>
      <c r="N16" s="221"/>
      <c r="O16" s="330"/>
      <c r="P16" s="330"/>
      <c r="Q16" s="330"/>
      <c r="R16" s="330"/>
      <c r="S16" s="373">
        <f t="shared" si="4"/>
        <v>25.2</v>
      </c>
      <c r="T16" s="556">
        <f t="shared" si="3"/>
        <v>2547.56</v>
      </c>
      <c r="U16" s="861" t="s">
        <v>23</v>
      </c>
      <c r="V16" s="910"/>
      <c r="W16" s="334"/>
      <c r="Y16" s="160"/>
      <c r="Z16" s="161"/>
      <c r="AB16" s="181"/>
      <c r="AC16" s="203"/>
      <c r="AD16" s="163"/>
    </row>
    <row r="17" spans="2:37" s="159" customFormat="1" x14ac:dyDescent="0.25">
      <c r="B17" s="696">
        <v>41932</v>
      </c>
      <c r="C17" s="215" t="s">
        <v>137</v>
      </c>
      <c r="D17" s="216" t="s">
        <v>365</v>
      </c>
      <c r="E17" s="435" t="s">
        <v>366</v>
      </c>
      <c r="F17" s="326">
        <v>100422</v>
      </c>
      <c r="G17" s="327"/>
      <c r="H17" s="221"/>
      <c r="I17" s="328"/>
      <c r="J17" s="329"/>
      <c r="K17" s="221">
        <v>101.22</v>
      </c>
      <c r="L17" s="221"/>
      <c r="M17" s="221"/>
      <c r="N17" s="221"/>
      <c r="O17" s="330"/>
      <c r="P17" s="330"/>
      <c r="Q17" s="330"/>
      <c r="R17" s="330"/>
      <c r="S17" s="373">
        <f t="shared" si="1"/>
        <v>101.22</v>
      </c>
      <c r="T17" s="556">
        <f t="shared" si="3"/>
        <v>2446.34</v>
      </c>
      <c r="U17" s="861" t="s">
        <v>23</v>
      </c>
      <c r="V17" s="910"/>
      <c r="W17" s="334"/>
      <c r="Y17" s="160"/>
      <c r="Z17" s="161"/>
      <c r="AB17" s="181"/>
      <c r="AC17" s="203"/>
      <c r="AD17" s="182"/>
    </row>
    <row r="18" spans="2:37" s="159" customFormat="1" x14ac:dyDescent="0.25">
      <c r="B18" s="696">
        <v>41932</v>
      </c>
      <c r="C18" s="225" t="s">
        <v>367</v>
      </c>
      <c r="D18" s="226" t="s">
        <v>368</v>
      </c>
      <c r="E18" s="435" t="s">
        <v>366</v>
      </c>
      <c r="F18" s="326">
        <v>100423</v>
      </c>
      <c r="G18" s="327"/>
      <c r="H18" s="221"/>
      <c r="I18" s="328"/>
      <c r="J18" s="329"/>
      <c r="K18" s="221"/>
      <c r="L18" s="221"/>
      <c r="M18" s="221">
        <v>28</v>
      </c>
      <c r="N18" s="221"/>
      <c r="O18" s="330"/>
      <c r="P18" s="330"/>
      <c r="Q18" s="330"/>
      <c r="R18" s="330"/>
      <c r="S18" s="373">
        <f t="shared" si="1"/>
        <v>28</v>
      </c>
      <c r="T18" s="556">
        <f t="shared" si="3"/>
        <v>2418.34</v>
      </c>
      <c r="U18" s="861" t="s">
        <v>23</v>
      </c>
      <c r="V18" s="910"/>
      <c r="W18" s="334"/>
      <c r="Y18" s="160"/>
      <c r="Z18" s="161"/>
      <c r="AB18" s="181"/>
      <c r="AC18" s="203"/>
      <c r="AD18" s="163"/>
    </row>
    <row r="19" spans="2:37" s="159" customFormat="1" x14ac:dyDescent="0.25">
      <c r="B19" s="696">
        <v>41932</v>
      </c>
      <c r="C19" s="225" t="s">
        <v>369</v>
      </c>
      <c r="D19" s="226" t="s">
        <v>370</v>
      </c>
      <c r="E19" s="435" t="s">
        <v>371</v>
      </c>
      <c r="F19" s="326">
        <v>100424</v>
      </c>
      <c r="G19" s="327"/>
      <c r="H19" s="221"/>
      <c r="I19" s="328"/>
      <c r="J19" s="329"/>
      <c r="K19" s="221"/>
      <c r="L19" s="221"/>
      <c r="M19" s="221"/>
      <c r="N19" s="221"/>
      <c r="O19" s="330">
        <v>125</v>
      </c>
      <c r="P19" s="330"/>
      <c r="Q19" s="330"/>
      <c r="R19" s="330"/>
      <c r="S19" s="373">
        <f t="shared" ref="S19:S28" si="5">SUM(J19:R19)</f>
        <v>125</v>
      </c>
      <c r="T19" s="556">
        <f t="shared" si="3"/>
        <v>2293.34</v>
      </c>
      <c r="U19" s="861" t="s">
        <v>23</v>
      </c>
      <c r="V19" s="910"/>
      <c r="W19" s="334" t="s">
        <v>372</v>
      </c>
      <c r="Y19" s="160"/>
      <c r="Z19" s="161"/>
      <c r="AB19" s="181"/>
      <c r="AC19" s="203"/>
      <c r="AD19" s="163"/>
    </row>
    <row r="20" spans="2:37" s="159" customFormat="1" x14ac:dyDescent="0.25">
      <c r="B20" s="696">
        <v>41932</v>
      </c>
      <c r="C20" s="225" t="s">
        <v>373</v>
      </c>
      <c r="D20" s="226" t="s">
        <v>374</v>
      </c>
      <c r="E20" s="435" t="s">
        <v>371</v>
      </c>
      <c r="F20" s="326">
        <v>100425</v>
      </c>
      <c r="G20" s="327"/>
      <c r="H20" s="221"/>
      <c r="I20" s="328"/>
      <c r="J20" s="329">
        <v>75</v>
      </c>
      <c r="K20" s="221"/>
      <c r="L20" s="221"/>
      <c r="M20" s="221"/>
      <c r="N20" s="221"/>
      <c r="O20" s="330"/>
      <c r="P20" s="330"/>
      <c r="Q20" s="330"/>
      <c r="R20" s="330"/>
      <c r="S20" s="373">
        <f t="shared" si="5"/>
        <v>75</v>
      </c>
      <c r="T20" s="556">
        <f t="shared" si="3"/>
        <v>2218.34</v>
      </c>
      <c r="U20" s="861" t="s">
        <v>23</v>
      </c>
      <c r="V20" s="910"/>
      <c r="W20" s="334" t="s">
        <v>372</v>
      </c>
      <c r="Y20" s="160"/>
      <c r="Z20" s="161"/>
      <c r="AB20" s="181"/>
      <c r="AC20" s="203"/>
      <c r="AD20" s="163"/>
    </row>
    <row r="21" spans="2:37" s="159" customFormat="1" x14ac:dyDescent="0.25">
      <c r="B21" s="696">
        <v>41932</v>
      </c>
      <c r="C21" s="225" t="s">
        <v>375</v>
      </c>
      <c r="D21" s="226" t="s">
        <v>376</v>
      </c>
      <c r="E21" s="435" t="s">
        <v>371</v>
      </c>
      <c r="F21" s="326">
        <v>100426</v>
      </c>
      <c r="G21" s="327"/>
      <c r="H21" s="221"/>
      <c r="I21" s="328"/>
      <c r="J21" s="329">
        <v>25</v>
      </c>
      <c r="K21" s="221"/>
      <c r="L21" s="221"/>
      <c r="M21" s="221"/>
      <c r="N21" s="221"/>
      <c r="O21" s="330"/>
      <c r="P21" s="330"/>
      <c r="Q21" s="330"/>
      <c r="R21" s="330"/>
      <c r="S21" s="373">
        <f t="shared" si="5"/>
        <v>25</v>
      </c>
      <c r="T21" s="556">
        <f t="shared" si="3"/>
        <v>2193.34</v>
      </c>
      <c r="U21" s="861" t="s">
        <v>23</v>
      </c>
      <c r="V21" s="910"/>
      <c r="W21" s="334" t="s">
        <v>372</v>
      </c>
      <c r="Y21" s="160"/>
      <c r="Z21" s="161"/>
      <c r="AB21" s="181"/>
      <c r="AC21" s="203"/>
      <c r="AD21" s="163"/>
    </row>
    <row r="22" spans="2:37" s="159" customFormat="1" x14ac:dyDescent="0.25">
      <c r="B22" s="696">
        <v>41932</v>
      </c>
      <c r="C22" s="225" t="s">
        <v>377</v>
      </c>
      <c r="D22" s="226" t="s">
        <v>342</v>
      </c>
      <c r="E22" s="435" t="s">
        <v>371</v>
      </c>
      <c r="F22" s="326">
        <v>100427</v>
      </c>
      <c r="G22" s="327"/>
      <c r="H22" s="221"/>
      <c r="I22" s="328"/>
      <c r="J22" s="329">
        <v>25</v>
      </c>
      <c r="K22" s="221"/>
      <c r="L22" s="221"/>
      <c r="M22" s="221"/>
      <c r="N22" s="221"/>
      <c r="O22" s="330"/>
      <c r="P22" s="330"/>
      <c r="Q22" s="330"/>
      <c r="R22" s="330"/>
      <c r="S22" s="373">
        <f t="shared" si="5"/>
        <v>25</v>
      </c>
      <c r="T22" s="556">
        <f t="shared" si="3"/>
        <v>2168.34</v>
      </c>
      <c r="U22" s="861" t="s">
        <v>23</v>
      </c>
      <c r="V22" s="910"/>
      <c r="W22" s="334" t="s">
        <v>372</v>
      </c>
      <c r="Y22" s="160"/>
      <c r="Z22" s="161"/>
      <c r="AB22" s="181"/>
      <c r="AC22" s="203"/>
      <c r="AD22" s="163"/>
    </row>
    <row r="23" spans="2:37" s="159" customFormat="1" x14ac:dyDescent="0.25">
      <c r="B23" s="696">
        <v>41932</v>
      </c>
      <c r="C23" s="225" t="s">
        <v>378</v>
      </c>
      <c r="D23" s="226" t="s">
        <v>379</v>
      </c>
      <c r="E23" s="435" t="s">
        <v>371</v>
      </c>
      <c r="F23" s="326">
        <v>100428</v>
      </c>
      <c r="G23" s="327"/>
      <c r="H23" s="221"/>
      <c r="I23" s="328"/>
      <c r="J23" s="329">
        <v>25</v>
      </c>
      <c r="K23" s="221"/>
      <c r="L23" s="221"/>
      <c r="M23" s="221"/>
      <c r="N23" s="221"/>
      <c r="O23" s="330"/>
      <c r="P23" s="330"/>
      <c r="Q23" s="330"/>
      <c r="R23" s="330"/>
      <c r="S23" s="373">
        <f t="shared" si="5"/>
        <v>25</v>
      </c>
      <c r="T23" s="556">
        <f t="shared" si="3"/>
        <v>2143.34</v>
      </c>
      <c r="U23" s="861" t="s">
        <v>23</v>
      </c>
      <c r="V23" s="910"/>
      <c r="W23" s="334" t="s">
        <v>372</v>
      </c>
      <c r="Y23" s="160"/>
      <c r="Z23" s="161"/>
      <c r="AB23" s="181"/>
      <c r="AC23" s="203"/>
      <c r="AD23" s="163"/>
    </row>
    <row r="24" spans="2:37" s="159" customFormat="1" x14ac:dyDescent="0.25">
      <c r="B24" s="696">
        <v>41932</v>
      </c>
      <c r="C24" s="225" t="s">
        <v>380</v>
      </c>
      <c r="D24" s="226" t="s">
        <v>381</v>
      </c>
      <c r="E24" s="435" t="s">
        <v>371</v>
      </c>
      <c r="F24" s="326">
        <v>100429</v>
      </c>
      <c r="G24" s="327"/>
      <c r="H24" s="221"/>
      <c r="I24" s="328"/>
      <c r="J24" s="329">
        <v>50</v>
      </c>
      <c r="K24" s="221"/>
      <c r="L24" s="221"/>
      <c r="M24" s="221"/>
      <c r="N24" s="221"/>
      <c r="O24" s="330"/>
      <c r="P24" s="330"/>
      <c r="Q24" s="330"/>
      <c r="R24" s="330"/>
      <c r="S24" s="373">
        <f t="shared" si="5"/>
        <v>50</v>
      </c>
      <c r="T24" s="556">
        <f t="shared" si="3"/>
        <v>2093.34</v>
      </c>
      <c r="U24" s="861" t="s">
        <v>23</v>
      </c>
      <c r="V24" s="910"/>
      <c r="W24" s="334" t="s">
        <v>372</v>
      </c>
      <c r="Y24" s="160"/>
      <c r="Z24" s="161"/>
      <c r="AB24" s="181"/>
      <c r="AC24" s="203"/>
      <c r="AD24" s="163"/>
    </row>
    <row r="25" spans="2:37" s="159" customFormat="1" x14ac:dyDescent="0.25">
      <c r="B25" s="696">
        <v>41932</v>
      </c>
      <c r="C25" s="225" t="s">
        <v>382</v>
      </c>
      <c r="D25" s="226" t="s">
        <v>383</v>
      </c>
      <c r="E25" s="435" t="s">
        <v>366</v>
      </c>
      <c r="F25" s="326">
        <v>100430</v>
      </c>
      <c r="G25" s="327"/>
      <c r="H25" s="221"/>
      <c r="I25" s="328"/>
      <c r="J25" s="329"/>
      <c r="K25" s="221"/>
      <c r="L25" s="221"/>
      <c r="M25" s="221"/>
      <c r="N25" s="221">
        <v>254.14</v>
      </c>
      <c r="O25" s="330"/>
      <c r="P25" s="330"/>
      <c r="Q25" s="330"/>
      <c r="R25" s="330"/>
      <c r="S25" s="373">
        <f t="shared" si="5"/>
        <v>254.14</v>
      </c>
      <c r="T25" s="556">
        <f t="shared" si="3"/>
        <v>1839.2000000000003</v>
      </c>
      <c r="U25" s="861" t="s">
        <v>23</v>
      </c>
      <c r="V25" s="910"/>
      <c r="W25" s="334" t="s">
        <v>372</v>
      </c>
      <c r="Y25" s="160"/>
      <c r="Z25" s="161"/>
      <c r="AB25" s="181"/>
      <c r="AC25" s="203"/>
      <c r="AD25" s="163"/>
    </row>
    <row r="26" spans="2:37" s="159" customFormat="1" x14ac:dyDescent="0.25">
      <c r="B26" s="696">
        <v>41981</v>
      </c>
      <c r="C26" s="225" t="s">
        <v>137</v>
      </c>
      <c r="D26" s="216" t="s">
        <v>384</v>
      </c>
      <c r="E26" s="435" t="s">
        <v>385</v>
      </c>
      <c r="F26" s="326">
        <v>100431</v>
      </c>
      <c r="G26" s="327"/>
      <c r="H26" s="221"/>
      <c r="I26" s="328"/>
      <c r="J26" s="329"/>
      <c r="K26" s="221">
        <v>101.02</v>
      </c>
      <c r="L26" s="221"/>
      <c r="M26" s="221"/>
      <c r="N26" s="221"/>
      <c r="O26" s="330"/>
      <c r="P26" s="330"/>
      <c r="Q26" s="330"/>
      <c r="R26" s="330"/>
      <c r="S26" s="373">
        <f t="shared" si="5"/>
        <v>101.02</v>
      </c>
      <c r="T26" s="556">
        <f t="shared" si="3"/>
        <v>1738.1800000000003</v>
      </c>
      <c r="U26" s="861" t="s">
        <v>23</v>
      </c>
      <c r="V26" s="910"/>
      <c r="W26" s="334"/>
      <c r="Y26" s="160"/>
      <c r="Z26" s="161"/>
      <c r="AB26" s="181"/>
      <c r="AC26" s="203"/>
      <c r="AD26" s="163"/>
    </row>
    <row r="27" spans="2:37" s="159" customFormat="1" x14ac:dyDescent="0.25">
      <c r="B27" s="696">
        <v>41981</v>
      </c>
      <c r="C27" s="225" t="s">
        <v>367</v>
      </c>
      <c r="D27" s="216" t="s">
        <v>386</v>
      </c>
      <c r="E27" s="435" t="s">
        <v>385</v>
      </c>
      <c r="F27" s="326">
        <v>100432</v>
      </c>
      <c r="G27" s="327"/>
      <c r="H27" s="221"/>
      <c r="I27" s="328"/>
      <c r="J27" s="329"/>
      <c r="K27" s="221">
        <v>25.4</v>
      </c>
      <c r="L27" s="221"/>
      <c r="M27" s="221"/>
      <c r="N27" s="221"/>
      <c r="O27" s="330"/>
      <c r="P27" s="330"/>
      <c r="Q27" s="330"/>
      <c r="R27" s="330"/>
      <c r="S27" s="373">
        <f t="shared" si="5"/>
        <v>25.4</v>
      </c>
      <c r="T27" s="556">
        <f t="shared" si="3"/>
        <v>1712.7800000000002</v>
      </c>
      <c r="U27" s="861" t="s">
        <v>23</v>
      </c>
      <c r="V27" s="910"/>
      <c r="W27" s="334" t="s">
        <v>415</v>
      </c>
      <c r="X27" s="862">
        <f>T27/(G8+G15)</f>
        <v>0.90146315789473697</v>
      </c>
      <c r="Y27" s="160"/>
      <c r="Z27" s="161"/>
      <c r="AB27" s="181"/>
      <c r="AC27" s="203"/>
      <c r="AD27" s="163"/>
    </row>
    <row r="28" spans="2:37" x14ac:dyDescent="0.25">
      <c r="B28" s="696">
        <v>42014</v>
      </c>
      <c r="C28" s="215" t="s">
        <v>152</v>
      </c>
      <c r="D28" s="216" t="s">
        <v>387</v>
      </c>
      <c r="E28" s="374" t="s">
        <v>416</v>
      </c>
      <c r="F28" s="326">
        <v>100420</v>
      </c>
      <c r="G28" s="327"/>
      <c r="H28" s="221"/>
      <c r="I28" s="328"/>
      <c r="J28" s="329"/>
      <c r="K28" s="221"/>
      <c r="L28" s="221"/>
      <c r="M28" s="221">
        <v>35</v>
      </c>
      <c r="N28" s="231"/>
      <c r="O28" s="370"/>
      <c r="P28" s="370"/>
      <c r="Q28" s="370"/>
      <c r="R28" s="370"/>
      <c r="S28" s="373">
        <f t="shared" si="5"/>
        <v>35</v>
      </c>
      <c r="T28" s="556">
        <f t="shared" si="3"/>
        <v>1677.7800000000002</v>
      </c>
      <c r="U28" s="861" t="s">
        <v>23</v>
      </c>
      <c r="V28" s="910"/>
      <c r="W28" s="766"/>
      <c r="X28" s="444"/>
      <c r="AB28" s="181"/>
      <c r="AC28" s="203"/>
      <c r="AD28" s="182"/>
      <c r="AE28" s="155"/>
      <c r="AF28" s="155"/>
      <c r="AG28" s="155"/>
      <c r="AH28" s="155"/>
      <c r="AI28" s="155"/>
      <c r="AJ28" s="155"/>
      <c r="AK28" s="155"/>
    </row>
    <row r="29" spans="2:37" x14ac:dyDescent="0.25">
      <c r="B29" s="696">
        <v>42050</v>
      </c>
      <c r="C29" s="225" t="s">
        <v>137</v>
      </c>
      <c r="D29" s="216" t="s">
        <v>388</v>
      </c>
      <c r="E29" s="374" t="s">
        <v>417</v>
      </c>
      <c r="F29" s="326">
        <v>100433</v>
      </c>
      <c r="G29" s="366"/>
      <c r="H29" s="231"/>
      <c r="I29" s="367"/>
      <c r="J29" s="366"/>
      <c r="K29" s="221">
        <v>105.94</v>
      </c>
      <c r="L29" s="231"/>
      <c r="M29" s="765"/>
      <c r="N29" s="231"/>
      <c r="O29" s="370"/>
      <c r="P29" s="370"/>
      <c r="Q29" s="370"/>
      <c r="R29" s="370"/>
      <c r="S29" s="373">
        <f t="shared" ref="S29:S43" si="6">SUM(J29:R29)</f>
        <v>105.94</v>
      </c>
      <c r="T29" s="556">
        <f t="shared" ref="T29" si="7">T28+SUM(G29:I29)-S29</f>
        <v>1571.8400000000001</v>
      </c>
      <c r="U29" s="861" t="s">
        <v>23</v>
      </c>
      <c r="V29" s="910"/>
      <c r="W29" s="766"/>
      <c r="X29" s="444"/>
      <c r="AB29" s="181"/>
      <c r="AC29" s="203"/>
      <c r="AD29" s="182"/>
      <c r="AE29" s="155"/>
      <c r="AF29" s="155"/>
      <c r="AG29" s="155"/>
      <c r="AH29" s="155"/>
      <c r="AI29" s="155"/>
      <c r="AJ29" s="155"/>
      <c r="AK29" s="155"/>
    </row>
    <row r="30" spans="2:37" x14ac:dyDescent="0.25">
      <c r="B30" s="696">
        <v>42050</v>
      </c>
      <c r="C30" s="225" t="s">
        <v>367</v>
      </c>
      <c r="D30" s="216" t="s">
        <v>389</v>
      </c>
      <c r="E30" s="374" t="s">
        <v>417</v>
      </c>
      <c r="F30" s="326">
        <v>100434</v>
      </c>
      <c r="G30" s="366"/>
      <c r="H30" s="231"/>
      <c r="I30" s="367"/>
      <c r="J30" s="571"/>
      <c r="K30" s="221">
        <v>26.4</v>
      </c>
      <c r="L30" s="231"/>
      <c r="M30" s="221"/>
      <c r="N30" s="231"/>
      <c r="O30" s="370"/>
      <c r="P30" s="370"/>
      <c r="Q30" s="370"/>
      <c r="R30" s="370"/>
      <c r="S30" s="373">
        <f t="shared" si="6"/>
        <v>26.4</v>
      </c>
      <c r="T30" s="911">
        <f t="shared" ref="T30:T35" si="8">T29-SUM(J30:R30)+SUM(G30:I30)</f>
        <v>1545.44</v>
      </c>
      <c r="U30" s="861" t="s">
        <v>23</v>
      </c>
      <c r="V30" s="910"/>
      <c r="W30" s="766"/>
      <c r="X30" s="447"/>
      <c r="AB30" s="181"/>
      <c r="AC30" s="203"/>
      <c r="AE30" s="155"/>
      <c r="AF30" s="155"/>
      <c r="AG30" s="155"/>
      <c r="AH30" s="155"/>
      <c r="AI30" s="155"/>
      <c r="AJ30" s="155"/>
      <c r="AK30" s="155"/>
    </row>
    <row r="31" spans="2:37" x14ac:dyDescent="0.25">
      <c r="B31" s="696">
        <v>42078</v>
      </c>
      <c r="C31" s="215" t="s">
        <v>137</v>
      </c>
      <c r="D31" s="216" t="s">
        <v>390</v>
      </c>
      <c r="E31" s="374" t="s">
        <v>417</v>
      </c>
      <c r="F31" s="326">
        <v>100435</v>
      </c>
      <c r="G31" s="329"/>
      <c r="H31" s="221"/>
      <c r="I31" s="328"/>
      <c r="J31" s="571"/>
      <c r="K31" s="221"/>
      <c r="L31" s="221">
        <v>310.22000000000003</v>
      </c>
      <c r="M31" s="221"/>
      <c r="N31" s="221"/>
      <c r="O31" s="330"/>
      <c r="P31" s="330"/>
      <c r="Q31" s="330"/>
      <c r="R31" s="330">
        <v>14.84</v>
      </c>
      <c r="S31" s="373">
        <f t="shared" si="6"/>
        <v>325.06</v>
      </c>
      <c r="T31" s="911">
        <f t="shared" si="8"/>
        <v>1220.3800000000001</v>
      </c>
      <c r="U31" s="861" t="s">
        <v>23</v>
      </c>
      <c r="V31" s="910"/>
      <c r="W31" s="912" t="s">
        <v>418</v>
      </c>
      <c r="X31" s="862">
        <f>T31/(G8+G15)</f>
        <v>0.64230526315789482</v>
      </c>
      <c r="AB31" s="181"/>
      <c r="AC31" s="203"/>
      <c r="AE31" s="155"/>
      <c r="AF31" s="155"/>
      <c r="AG31" s="155"/>
      <c r="AH31" s="155"/>
      <c r="AI31" s="155"/>
      <c r="AJ31" s="155"/>
      <c r="AK31" s="155"/>
    </row>
    <row r="32" spans="2:37" hidden="1" x14ac:dyDescent="0.25">
      <c r="B32" s="696"/>
      <c r="C32" s="215"/>
      <c r="D32" s="227"/>
      <c r="E32" s="902"/>
      <c r="F32" s="326"/>
      <c r="G32" s="366"/>
      <c r="H32" s="231"/>
      <c r="I32" s="367"/>
      <c r="J32" s="571"/>
      <c r="K32" s="231"/>
      <c r="L32" s="231"/>
      <c r="M32" s="231"/>
      <c r="N32" s="231"/>
      <c r="O32" s="370"/>
      <c r="P32" s="370"/>
      <c r="Q32" s="370"/>
      <c r="R32" s="370"/>
      <c r="S32" s="373">
        <f t="shared" si="6"/>
        <v>0</v>
      </c>
      <c r="T32" s="911">
        <f t="shared" si="8"/>
        <v>1220.3800000000001</v>
      </c>
      <c r="U32" s="861"/>
      <c r="V32" s="910"/>
      <c r="W32" s="766"/>
      <c r="X32" s="862">
        <f>T32/(G8+G15)</f>
        <v>0.64230526315789482</v>
      </c>
      <c r="AB32" s="181"/>
      <c r="AC32" s="203"/>
      <c r="AE32" s="155"/>
      <c r="AF32" s="155"/>
      <c r="AG32" s="155"/>
      <c r="AH32" s="155"/>
      <c r="AI32" s="155"/>
      <c r="AJ32" s="155"/>
      <c r="AK32" s="155"/>
    </row>
    <row r="33" spans="2:37" hidden="1" x14ac:dyDescent="0.25">
      <c r="B33" s="696"/>
      <c r="C33" s="215"/>
      <c r="D33" s="227"/>
      <c r="E33" s="374"/>
      <c r="F33" s="326"/>
      <c r="G33" s="366"/>
      <c r="H33" s="231"/>
      <c r="I33" s="367"/>
      <c r="J33" s="571"/>
      <c r="K33" s="231"/>
      <c r="L33" s="231"/>
      <c r="M33" s="231"/>
      <c r="N33" s="221"/>
      <c r="O33" s="330"/>
      <c r="P33" s="330"/>
      <c r="Q33" s="330"/>
      <c r="R33" s="370"/>
      <c r="S33" s="373">
        <f t="shared" si="6"/>
        <v>0</v>
      </c>
      <c r="T33" s="911">
        <f t="shared" si="8"/>
        <v>1220.3800000000001</v>
      </c>
      <c r="U33" s="861"/>
      <c r="V33" s="910"/>
      <c r="W33" s="766"/>
      <c r="X33" s="447"/>
      <c r="AB33" s="181"/>
      <c r="AC33" s="203"/>
      <c r="AE33" s="155"/>
      <c r="AF33" s="155"/>
      <c r="AG33" s="155"/>
      <c r="AH33" s="155"/>
      <c r="AI33" s="155"/>
      <c r="AJ33" s="155"/>
      <c r="AK33" s="155"/>
    </row>
    <row r="34" spans="2:37" hidden="1" x14ac:dyDescent="0.25">
      <c r="B34" s="696"/>
      <c r="C34" s="215"/>
      <c r="D34" s="227"/>
      <c r="E34" s="374"/>
      <c r="F34" s="326"/>
      <c r="G34" s="366"/>
      <c r="H34" s="231"/>
      <c r="I34" s="367"/>
      <c r="J34" s="571"/>
      <c r="K34" s="231"/>
      <c r="L34" s="231"/>
      <c r="M34" s="231"/>
      <c r="N34" s="221"/>
      <c r="O34" s="330"/>
      <c r="P34" s="330"/>
      <c r="Q34" s="330"/>
      <c r="R34" s="370"/>
      <c r="S34" s="373">
        <f t="shared" si="6"/>
        <v>0</v>
      </c>
      <c r="T34" s="911">
        <f t="shared" si="8"/>
        <v>1220.3800000000001</v>
      </c>
      <c r="U34" s="861"/>
      <c r="V34" s="910"/>
      <c r="W34" s="766"/>
      <c r="X34" s="862"/>
      <c r="AB34" s="181"/>
      <c r="AC34" s="203"/>
      <c r="AE34" s="155"/>
      <c r="AF34" s="155"/>
      <c r="AG34" s="155"/>
      <c r="AH34" s="155"/>
      <c r="AI34" s="155"/>
      <c r="AJ34" s="155"/>
      <c r="AK34" s="155"/>
    </row>
    <row r="35" spans="2:37" hidden="1" x14ac:dyDescent="0.25">
      <c r="B35" s="696"/>
      <c r="C35" s="215"/>
      <c r="D35" s="227"/>
      <c r="E35" s="374"/>
      <c r="F35" s="354"/>
      <c r="G35" s="366"/>
      <c r="H35" s="231"/>
      <c r="I35" s="367"/>
      <c r="J35" s="571"/>
      <c r="K35" s="231"/>
      <c r="L35" s="231"/>
      <c r="M35" s="231"/>
      <c r="N35" s="221"/>
      <c r="O35" s="330"/>
      <c r="P35" s="330"/>
      <c r="Q35" s="330"/>
      <c r="R35" s="370"/>
      <c r="S35" s="373">
        <f t="shared" si="6"/>
        <v>0</v>
      </c>
      <c r="T35" s="911">
        <f t="shared" si="8"/>
        <v>1220.3800000000001</v>
      </c>
      <c r="U35" s="861"/>
      <c r="V35" s="910"/>
      <c r="W35" s="766"/>
      <c r="X35" s="447"/>
      <c r="AB35" s="181"/>
      <c r="AC35" s="203"/>
    </row>
    <row r="36" spans="2:37" hidden="1" x14ac:dyDescent="0.25">
      <c r="B36" s="696"/>
      <c r="C36" s="215"/>
      <c r="D36" s="227"/>
      <c r="E36" s="374"/>
      <c r="F36" s="354"/>
      <c r="G36" s="366"/>
      <c r="H36" s="231"/>
      <c r="I36" s="367"/>
      <c r="J36" s="571"/>
      <c r="K36" s="231"/>
      <c r="L36" s="231"/>
      <c r="M36" s="231"/>
      <c r="N36" s="221"/>
      <c r="O36" s="330"/>
      <c r="P36" s="330"/>
      <c r="Q36" s="330"/>
      <c r="R36" s="370"/>
      <c r="S36" s="373">
        <f t="shared" si="6"/>
        <v>0</v>
      </c>
      <c r="T36" s="911">
        <f t="shared" ref="T36:T43" si="9">T35-SUM(J36:R36)+SUM(G36:I36)</f>
        <v>1220.3800000000001</v>
      </c>
      <c r="U36" s="861"/>
      <c r="V36" s="910"/>
      <c r="W36" s="766"/>
      <c r="X36" s="444"/>
      <c r="AB36" s="181"/>
      <c r="AC36" s="203"/>
      <c r="AD36" s="244"/>
    </row>
    <row r="37" spans="2:37" hidden="1" x14ac:dyDescent="0.25">
      <c r="B37" s="696"/>
      <c r="C37" s="215"/>
      <c r="D37" s="227"/>
      <c r="E37" s="374"/>
      <c r="F37" s="326"/>
      <c r="G37" s="366"/>
      <c r="H37" s="231"/>
      <c r="I37" s="367"/>
      <c r="J37" s="571"/>
      <c r="K37" s="231"/>
      <c r="L37" s="231"/>
      <c r="M37" s="231"/>
      <c r="N37" s="221"/>
      <c r="O37" s="330"/>
      <c r="P37" s="330"/>
      <c r="Q37" s="330"/>
      <c r="R37" s="370"/>
      <c r="S37" s="373">
        <f t="shared" si="6"/>
        <v>0</v>
      </c>
      <c r="T37" s="911">
        <f t="shared" si="9"/>
        <v>1220.3800000000001</v>
      </c>
      <c r="U37" s="861"/>
      <c r="V37" s="910"/>
      <c r="W37" s="766"/>
      <c r="X37" s="444"/>
      <c r="AB37" s="181"/>
      <c r="AC37" s="203"/>
      <c r="AD37" s="244"/>
    </row>
    <row r="38" spans="2:37" hidden="1" x14ac:dyDescent="0.25">
      <c r="B38" s="696"/>
      <c r="C38" s="215"/>
      <c r="D38" s="227"/>
      <c r="E38" s="374"/>
      <c r="F38" s="354"/>
      <c r="G38" s="366"/>
      <c r="H38" s="231"/>
      <c r="I38" s="367"/>
      <c r="J38" s="571"/>
      <c r="K38" s="231"/>
      <c r="L38" s="231"/>
      <c r="M38" s="231"/>
      <c r="N38" s="221"/>
      <c r="O38" s="330"/>
      <c r="P38" s="330"/>
      <c r="Q38" s="330"/>
      <c r="R38" s="370"/>
      <c r="S38" s="373">
        <f t="shared" si="6"/>
        <v>0</v>
      </c>
      <c r="T38" s="911">
        <f t="shared" si="9"/>
        <v>1220.3800000000001</v>
      </c>
      <c r="U38" s="861"/>
      <c r="V38" s="910"/>
      <c r="W38" s="334"/>
      <c r="AB38" s="181"/>
      <c r="AC38" s="203"/>
    </row>
    <row r="39" spans="2:37" hidden="1" x14ac:dyDescent="0.25">
      <c r="B39" s="696"/>
      <c r="C39" s="215"/>
      <c r="D39" s="227"/>
      <c r="E39" s="374"/>
      <c r="F39" s="354"/>
      <c r="G39" s="366"/>
      <c r="H39" s="231"/>
      <c r="I39" s="367"/>
      <c r="J39" s="571"/>
      <c r="K39" s="231"/>
      <c r="L39" s="231"/>
      <c r="M39" s="231"/>
      <c r="N39" s="221"/>
      <c r="O39" s="330"/>
      <c r="P39" s="330"/>
      <c r="Q39" s="330"/>
      <c r="R39" s="370"/>
      <c r="S39" s="373">
        <f t="shared" si="6"/>
        <v>0</v>
      </c>
      <c r="T39" s="911">
        <f t="shared" si="9"/>
        <v>1220.3800000000001</v>
      </c>
      <c r="U39" s="861"/>
      <c r="V39" s="910"/>
      <c r="W39" s="334"/>
      <c r="AB39" s="181"/>
      <c r="AC39" s="203"/>
    </row>
    <row r="40" spans="2:37" hidden="1" x14ac:dyDescent="0.25">
      <c r="B40" s="696"/>
      <c r="C40" s="215"/>
      <c r="D40" s="227"/>
      <c r="E40" s="374"/>
      <c r="F40" s="354"/>
      <c r="G40" s="366"/>
      <c r="H40" s="231"/>
      <c r="I40" s="367"/>
      <c r="J40" s="571"/>
      <c r="K40" s="231"/>
      <c r="L40" s="231"/>
      <c r="M40" s="231"/>
      <c r="N40" s="221"/>
      <c r="O40" s="330"/>
      <c r="P40" s="330"/>
      <c r="Q40" s="330"/>
      <c r="R40" s="370"/>
      <c r="S40" s="373">
        <f t="shared" si="6"/>
        <v>0</v>
      </c>
      <c r="T40" s="911">
        <f t="shared" si="9"/>
        <v>1220.3800000000001</v>
      </c>
      <c r="U40" s="861"/>
      <c r="V40" s="910"/>
      <c r="W40" s="334"/>
      <c r="AB40" s="181"/>
      <c r="AC40" s="203"/>
    </row>
    <row r="41" spans="2:37" hidden="1" x14ac:dyDescent="0.25">
      <c r="B41" s="696"/>
      <c r="C41" s="215"/>
      <c r="D41" s="227"/>
      <c r="E41" s="374"/>
      <c r="F41" s="354"/>
      <c r="G41" s="366"/>
      <c r="H41" s="231"/>
      <c r="I41" s="367"/>
      <c r="J41" s="571"/>
      <c r="K41" s="231"/>
      <c r="L41" s="231"/>
      <c r="M41" s="231"/>
      <c r="N41" s="221"/>
      <c r="O41" s="330"/>
      <c r="P41" s="330"/>
      <c r="Q41" s="330"/>
      <c r="R41" s="370"/>
      <c r="S41" s="373">
        <f t="shared" si="6"/>
        <v>0</v>
      </c>
      <c r="T41" s="911">
        <f t="shared" si="9"/>
        <v>1220.3800000000001</v>
      </c>
      <c r="U41" s="861"/>
      <c r="V41" s="910"/>
      <c r="W41" s="334"/>
      <c r="AB41" s="181"/>
      <c r="AC41" s="203"/>
    </row>
    <row r="42" spans="2:37" hidden="1" x14ac:dyDescent="0.25">
      <c r="B42" s="696"/>
      <c r="C42" s="215"/>
      <c r="D42" s="227"/>
      <c r="E42" s="374"/>
      <c r="F42" s="354"/>
      <c r="G42" s="366"/>
      <c r="H42" s="231"/>
      <c r="I42" s="367"/>
      <c r="J42" s="571"/>
      <c r="K42" s="231"/>
      <c r="L42" s="231"/>
      <c r="M42" s="231"/>
      <c r="N42" s="221"/>
      <c r="O42" s="330"/>
      <c r="P42" s="330"/>
      <c r="Q42" s="330"/>
      <c r="R42" s="370"/>
      <c r="S42" s="373">
        <f t="shared" si="6"/>
        <v>0</v>
      </c>
      <c r="T42" s="911">
        <f t="shared" si="9"/>
        <v>1220.3800000000001</v>
      </c>
      <c r="U42" s="861"/>
      <c r="V42" s="910"/>
      <c r="W42" s="334"/>
      <c r="AB42" s="181"/>
      <c r="AC42" s="203"/>
    </row>
    <row r="43" spans="2:37" hidden="1" x14ac:dyDescent="0.25">
      <c r="B43" s="696"/>
      <c r="C43" s="215"/>
      <c r="D43" s="227"/>
      <c r="E43" s="374"/>
      <c r="F43" s="354"/>
      <c r="G43" s="366"/>
      <c r="H43" s="231"/>
      <c r="I43" s="367"/>
      <c r="J43" s="571"/>
      <c r="K43" s="231"/>
      <c r="L43" s="231"/>
      <c r="M43" s="221"/>
      <c r="N43" s="231"/>
      <c r="O43" s="370"/>
      <c r="P43" s="370"/>
      <c r="Q43" s="370"/>
      <c r="R43" s="370"/>
      <c r="S43" s="373">
        <f t="shared" si="6"/>
        <v>0</v>
      </c>
      <c r="T43" s="911">
        <f t="shared" si="9"/>
        <v>1220.3800000000001</v>
      </c>
      <c r="U43" s="861"/>
      <c r="V43" s="910"/>
      <c r="W43" s="334"/>
      <c r="AB43" s="245"/>
      <c r="AC43" s="246"/>
      <c r="AD43" s="247"/>
    </row>
    <row r="44" spans="2:37" ht="20" thickBot="1" x14ac:dyDescent="0.3">
      <c r="B44" s="913"/>
      <c r="C44" s="914"/>
      <c r="D44" s="227"/>
      <c r="E44" s="383"/>
      <c r="F44" s="384"/>
      <c r="G44" s="385"/>
      <c r="H44" s="386"/>
      <c r="I44" s="387"/>
      <c r="J44" s="573"/>
      <c r="K44" s="386"/>
      <c r="L44" s="386"/>
      <c r="M44" s="386"/>
      <c r="N44" s="386"/>
      <c r="O44" s="389"/>
      <c r="P44" s="389"/>
      <c r="Q44" s="389"/>
      <c r="R44" s="389"/>
      <c r="S44" s="390"/>
      <c r="T44" s="574"/>
      <c r="U44" s="863"/>
      <c r="V44" s="910"/>
      <c r="AB44" s="245"/>
      <c r="AC44" s="246"/>
      <c r="AD44" s="247"/>
    </row>
    <row r="45" spans="2:37" ht="21" thickTop="1" thickBot="1" x14ac:dyDescent="0.3">
      <c r="B45" s="521"/>
      <c r="C45" s="522"/>
      <c r="D45" s="523" t="s">
        <v>122</v>
      </c>
      <c r="E45" s="524"/>
      <c r="F45" s="525"/>
      <c r="G45" s="575">
        <f t="shared" ref="G45:S45" si="10">SUM(G8:G44)</f>
        <v>2039.25</v>
      </c>
      <c r="H45" s="575">
        <f t="shared" si="10"/>
        <v>0</v>
      </c>
      <c r="I45" s="576">
        <f t="shared" si="10"/>
        <v>12.6</v>
      </c>
      <c r="J45" s="577">
        <f t="shared" si="10"/>
        <v>200</v>
      </c>
      <c r="K45" s="578">
        <f t="shared" si="10"/>
        <v>511.59999999999997</v>
      </c>
      <c r="L45" s="578">
        <f t="shared" si="10"/>
        <v>310.22000000000003</v>
      </c>
      <c r="M45" s="578">
        <f t="shared" si="10"/>
        <v>63</v>
      </c>
      <c r="N45" s="578">
        <f t="shared" si="10"/>
        <v>404.14</v>
      </c>
      <c r="O45" s="578">
        <f t="shared" si="10"/>
        <v>125</v>
      </c>
      <c r="P45" s="578">
        <f t="shared" si="10"/>
        <v>0</v>
      </c>
      <c r="Q45" s="578">
        <f t="shared" si="10"/>
        <v>0</v>
      </c>
      <c r="R45" s="579">
        <f t="shared" si="10"/>
        <v>14.84</v>
      </c>
      <c r="S45" s="580">
        <f t="shared" si="10"/>
        <v>1628.8000000000002</v>
      </c>
      <c r="T45" s="581">
        <f>T6+SUM(G45:I45)-S45</f>
        <v>1220.3799999999997</v>
      </c>
      <c r="U45" s="864"/>
      <c r="V45" s="910"/>
      <c r="AC45" s="203"/>
    </row>
    <row r="46" spans="2:37" ht="20" thickTop="1" x14ac:dyDescent="0.25"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AC46" s="203"/>
    </row>
    <row r="47" spans="2:37" s="459" customFormat="1" ht="18" x14ac:dyDescent="0.25">
      <c r="D47" s="458" t="s">
        <v>248</v>
      </c>
      <c r="E47" s="458" t="s">
        <v>196</v>
      </c>
      <c r="G47" s="460"/>
      <c r="H47" s="460"/>
      <c r="I47" s="460"/>
      <c r="J47" s="715">
        <f>6.15*133</f>
        <v>817.95</v>
      </c>
      <c r="K47" s="460"/>
      <c r="L47" s="460"/>
      <c r="M47" s="460"/>
      <c r="N47" s="460"/>
      <c r="O47" s="460"/>
      <c r="P47" s="460"/>
      <c r="Q47" s="460"/>
      <c r="R47" s="460"/>
      <c r="S47" s="460"/>
      <c r="T47" s="533">
        <f>S45-K45</f>
        <v>1117.2000000000003</v>
      </c>
      <c r="U47" s="462"/>
      <c r="V47" s="163"/>
      <c r="W47" s="203"/>
      <c r="X47" s="163"/>
      <c r="Y47" s="160"/>
      <c r="Z47" s="161"/>
      <c r="AA47" s="163"/>
      <c r="AB47" s="463"/>
      <c r="AC47" s="203"/>
      <c r="AD47" s="163"/>
      <c r="AE47" s="163"/>
      <c r="AF47" s="163"/>
      <c r="AG47" s="163"/>
      <c r="AH47" s="163"/>
      <c r="AI47" s="163"/>
      <c r="AJ47" s="163"/>
      <c r="AK47" s="163"/>
    </row>
    <row r="48" spans="2:37" x14ac:dyDescent="0.25">
      <c r="E48" s="458" t="s">
        <v>284</v>
      </c>
      <c r="G48" s="268"/>
      <c r="H48" s="268"/>
      <c r="I48" s="268"/>
      <c r="J48" s="773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W48" s="582"/>
    </row>
    <row r="49" spans="3:37" x14ac:dyDescent="0.25">
      <c r="D49" s="267" t="s">
        <v>317</v>
      </c>
      <c r="E49" s="458" t="s">
        <v>286</v>
      </c>
      <c r="F49" s="155">
        <f>131*6.98</f>
        <v>914.38000000000011</v>
      </c>
      <c r="G49" s="268"/>
      <c r="H49" s="268"/>
      <c r="I49" s="268"/>
      <c r="J49" s="715">
        <f>6.98*131</f>
        <v>914.38000000000011</v>
      </c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W49" s="582"/>
    </row>
    <row r="50" spans="3:37" x14ac:dyDescent="0.25">
      <c r="D50" s="267" t="s">
        <v>419</v>
      </c>
      <c r="E50" s="915">
        <f>128 * 6.98</f>
        <v>893.44</v>
      </c>
      <c r="G50" s="268"/>
      <c r="H50" s="268"/>
      <c r="I50" s="268"/>
      <c r="J50" s="715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W50" s="582"/>
    </row>
    <row r="51" spans="3:37" s="459" customFormat="1" ht="18" x14ac:dyDescent="0.25">
      <c r="C51" s="583" t="s">
        <v>212</v>
      </c>
      <c r="D51" s="458"/>
      <c r="E51" s="458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534"/>
      <c r="T51" s="584">
        <f>T6</f>
        <v>797.33</v>
      </c>
      <c r="U51" s="462"/>
      <c r="V51" s="163"/>
      <c r="W51" s="584"/>
      <c r="X51" s="163"/>
      <c r="Y51" s="160"/>
      <c r="Z51" s="161"/>
      <c r="AA51" s="163"/>
      <c r="AB51" s="463"/>
      <c r="AC51" s="163"/>
      <c r="AD51" s="163"/>
      <c r="AE51" s="163"/>
      <c r="AF51" s="163"/>
      <c r="AG51" s="163"/>
      <c r="AH51" s="163"/>
      <c r="AI51" s="163"/>
      <c r="AJ51" s="163"/>
      <c r="AK51" s="163"/>
    </row>
    <row r="52" spans="3:37" x14ac:dyDescent="0.25"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535"/>
      <c r="T52" s="535"/>
      <c r="W52" s="535"/>
    </row>
    <row r="53" spans="3:37" s="459" customFormat="1" ht="18" x14ac:dyDescent="0.25">
      <c r="C53" s="458" t="s">
        <v>200</v>
      </c>
      <c r="D53" s="458" t="s">
        <v>47</v>
      </c>
      <c r="E53" s="458"/>
      <c r="G53" s="460">
        <f>G45</f>
        <v>2039.25</v>
      </c>
      <c r="H53" s="460"/>
      <c r="I53" s="460"/>
      <c r="J53" s="460"/>
      <c r="K53" s="460"/>
      <c r="L53" s="460"/>
      <c r="M53" s="460"/>
      <c r="N53" s="460"/>
      <c r="O53" s="460"/>
      <c r="P53" s="460"/>
      <c r="Q53" s="460"/>
      <c r="R53" s="460"/>
      <c r="S53" s="534">
        <f>SUM(G53:R53)</f>
        <v>2039.25</v>
      </c>
      <c r="T53" s="534"/>
      <c r="U53" s="462"/>
      <c r="V53" s="163"/>
      <c r="W53" s="534"/>
      <c r="X53" s="163"/>
      <c r="Y53" s="160"/>
      <c r="Z53" s="161"/>
      <c r="AA53" s="163"/>
      <c r="AB53" s="463"/>
      <c r="AC53" s="163"/>
      <c r="AD53" s="163"/>
      <c r="AE53" s="163"/>
      <c r="AF53" s="163"/>
      <c r="AG53" s="163"/>
      <c r="AH53" s="163"/>
      <c r="AI53" s="163"/>
      <c r="AJ53" s="163"/>
      <c r="AK53" s="163"/>
    </row>
    <row r="54" spans="3:37" s="459" customFormat="1" ht="18" x14ac:dyDescent="0.25">
      <c r="C54" s="458"/>
      <c r="D54" s="458" t="s">
        <v>213</v>
      </c>
      <c r="E54" s="458"/>
      <c r="G54" s="460"/>
      <c r="H54" s="460"/>
      <c r="I54" s="460">
        <f>I45</f>
        <v>12.6</v>
      </c>
      <c r="J54" s="460"/>
      <c r="K54" s="460"/>
      <c r="L54" s="460"/>
      <c r="M54" s="460"/>
      <c r="N54" s="460"/>
      <c r="O54" s="460"/>
      <c r="P54" s="460"/>
      <c r="Q54" s="460"/>
      <c r="R54" s="460"/>
      <c r="S54" s="534">
        <f t="shared" ref="S54" si="11">SUM(G54:R54)</f>
        <v>12.6</v>
      </c>
      <c r="T54" s="534"/>
      <c r="U54" s="462"/>
      <c r="V54" s="163"/>
      <c r="W54" s="534"/>
      <c r="X54" s="163"/>
      <c r="Y54" s="160"/>
      <c r="Z54" s="161"/>
      <c r="AA54" s="163"/>
      <c r="AB54" s="463"/>
      <c r="AC54" s="163"/>
      <c r="AD54" s="163"/>
      <c r="AE54" s="163"/>
      <c r="AF54" s="163"/>
      <c r="AG54" s="163"/>
      <c r="AH54" s="163"/>
      <c r="AI54" s="163"/>
      <c r="AJ54" s="163"/>
      <c r="AK54" s="163"/>
    </row>
    <row r="55" spans="3:37" s="459" customFormat="1" ht="18" x14ac:dyDescent="0.25">
      <c r="C55" s="458"/>
      <c r="D55" s="583" t="s">
        <v>64</v>
      </c>
      <c r="E55" s="458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534"/>
      <c r="T55" s="584">
        <f>SUM(S53:S54)</f>
        <v>2051.85</v>
      </c>
      <c r="U55" s="462"/>
      <c r="V55" s="163"/>
      <c r="W55" s="584"/>
      <c r="X55" s="163"/>
      <c r="Y55" s="160"/>
      <c r="Z55" s="161"/>
      <c r="AA55" s="163"/>
      <c r="AB55" s="463"/>
      <c r="AC55" s="163"/>
      <c r="AD55" s="163"/>
      <c r="AE55" s="163"/>
      <c r="AF55" s="163"/>
      <c r="AG55" s="163"/>
      <c r="AH55" s="163"/>
      <c r="AI55" s="163"/>
      <c r="AJ55" s="163"/>
      <c r="AK55" s="163"/>
    </row>
    <row r="56" spans="3:37" s="459" customFormat="1" ht="18" x14ac:dyDescent="0.25">
      <c r="C56" s="458" t="s">
        <v>214</v>
      </c>
      <c r="D56" s="458" t="s">
        <v>215</v>
      </c>
      <c r="E56" s="458"/>
      <c r="G56" s="460"/>
      <c r="H56" s="460"/>
      <c r="I56" s="460"/>
      <c r="J56" s="460"/>
      <c r="K56" s="460">
        <f>K45</f>
        <v>511.59999999999997</v>
      </c>
      <c r="L56" s="460"/>
      <c r="M56" s="460"/>
      <c r="N56" s="460"/>
      <c r="O56" s="460"/>
      <c r="P56" s="460"/>
      <c r="Q56" s="460"/>
      <c r="R56" s="460"/>
      <c r="S56" s="916">
        <f>SUM(K56:R60)</f>
        <v>1303.8</v>
      </c>
      <c r="T56" s="534"/>
      <c r="U56" s="462"/>
      <c r="V56" s="163"/>
      <c r="W56" s="917">
        <f>S56/1900</f>
        <v>0.68621052631578949</v>
      </c>
      <c r="X56" s="918">
        <f>S56-K56+1033.56</f>
        <v>1825.76</v>
      </c>
      <c r="Y56" s="919">
        <f>X56/1900</f>
        <v>0.96092631578947363</v>
      </c>
      <c r="Z56" s="161"/>
      <c r="AA56" s="163"/>
      <c r="AB56" s="463"/>
      <c r="AC56" s="163"/>
      <c r="AD56" s="163"/>
      <c r="AE56" s="163"/>
      <c r="AF56" s="163"/>
      <c r="AG56" s="163"/>
      <c r="AH56" s="163"/>
      <c r="AI56" s="163"/>
      <c r="AJ56" s="163"/>
      <c r="AK56" s="163"/>
    </row>
    <row r="57" spans="3:37" s="459" customFormat="1" ht="18" x14ac:dyDescent="0.25">
      <c r="C57" s="458"/>
      <c r="D57" s="458" t="s">
        <v>420</v>
      </c>
      <c r="E57" s="458"/>
      <c r="G57" s="460"/>
      <c r="H57" s="460"/>
      <c r="I57" s="460"/>
      <c r="J57" s="460"/>
      <c r="K57" s="460"/>
      <c r="L57" s="460">
        <f>L45</f>
        <v>310.22000000000003</v>
      </c>
      <c r="M57" s="460"/>
      <c r="N57" s="460"/>
      <c r="O57" s="460"/>
      <c r="P57" s="460"/>
      <c r="Q57" s="460"/>
      <c r="R57" s="460">
        <f>R45</f>
        <v>14.84</v>
      </c>
      <c r="S57" s="534"/>
      <c r="T57" s="534"/>
      <c r="U57" s="462"/>
      <c r="V57" s="163"/>
      <c r="W57" s="534"/>
      <c r="X57" s="163"/>
      <c r="Y57" s="160"/>
      <c r="Z57" s="161"/>
      <c r="AA57" s="163"/>
      <c r="AB57" s="463"/>
      <c r="AC57" s="163"/>
      <c r="AD57" s="163"/>
      <c r="AE57" s="163"/>
      <c r="AF57" s="163"/>
      <c r="AG57" s="163"/>
      <c r="AH57" s="163"/>
      <c r="AI57" s="163"/>
      <c r="AJ57" s="163"/>
      <c r="AK57" s="163"/>
    </row>
    <row r="58" spans="3:37" s="459" customFormat="1" ht="18" x14ac:dyDescent="0.25">
      <c r="C58" s="458"/>
      <c r="D58" s="458" t="s">
        <v>421</v>
      </c>
      <c r="E58" s="458"/>
      <c r="G58" s="460"/>
      <c r="H58" s="460"/>
      <c r="I58" s="460"/>
      <c r="J58" s="460"/>
      <c r="K58" s="460"/>
      <c r="L58" s="460"/>
      <c r="M58" s="460">
        <f>M45</f>
        <v>63</v>
      </c>
      <c r="N58" s="460"/>
      <c r="O58" s="460"/>
      <c r="P58" s="460"/>
      <c r="Q58" s="460"/>
      <c r="R58" s="460"/>
      <c r="S58" s="534"/>
      <c r="T58" s="534"/>
      <c r="U58" s="462"/>
      <c r="V58" s="163"/>
      <c r="W58" s="534"/>
      <c r="X58" s="163"/>
      <c r="Y58" s="160"/>
      <c r="Z58" s="161"/>
      <c r="AA58" s="163"/>
      <c r="AB58" s="463"/>
      <c r="AC58" s="163"/>
      <c r="AD58" s="163"/>
      <c r="AE58" s="163"/>
      <c r="AF58" s="163"/>
      <c r="AG58" s="163"/>
      <c r="AH58" s="163"/>
      <c r="AI58" s="163"/>
      <c r="AJ58" s="163"/>
      <c r="AK58" s="163"/>
    </row>
    <row r="59" spans="3:37" s="459" customFormat="1" ht="18" x14ac:dyDescent="0.25">
      <c r="C59" s="458"/>
      <c r="D59" s="458" t="s">
        <v>422</v>
      </c>
      <c r="E59" s="458"/>
      <c r="G59" s="460"/>
      <c r="H59" s="460"/>
      <c r="I59" s="460"/>
      <c r="J59" s="460"/>
      <c r="K59" s="460"/>
      <c r="L59" s="460"/>
      <c r="M59" s="460"/>
      <c r="N59" s="460">
        <f>N45</f>
        <v>404.14</v>
      </c>
      <c r="O59" s="460"/>
      <c r="P59" s="460"/>
      <c r="Q59" s="460"/>
      <c r="R59" s="460"/>
      <c r="S59" s="534"/>
      <c r="T59" s="534"/>
      <c r="U59" s="462"/>
      <c r="V59" s="163"/>
      <c r="W59" s="534"/>
      <c r="X59" s="163"/>
      <c r="Y59" s="160"/>
      <c r="Z59" s="161"/>
      <c r="AA59" s="163"/>
      <c r="AB59" s="463"/>
      <c r="AC59" s="163"/>
      <c r="AD59" s="163"/>
      <c r="AE59" s="163"/>
      <c r="AF59" s="163"/>
      <c r="AG59" s="163"/>
      <c r="AH59" s="163"/>
      <c r="AI59" s="163"/>
      <c r="AJ59" s="163"/>
      <c r="AK59" s="163"/>
    </row>
    <row r="60" spans="3:37" s="459" customFormat="1" ht="18" x14ac:dyDescent="0.25">
      <c r="C60" s="458"/>
      <c r="D60" s="458" t="s">
        <v>423</v>
      </c>
      <c r="E60" s="458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>
        <f>Q45</f>
        <v>0</v>
      </c>
      <c r="R60" s="460"/>
      <c r="S60" s="534"/>
      <c r="T60" s="534"/>
      <c r="U60" s="462"/>
      <c r="V60" s="163"/>
      <c r="W60" s="534"/>
      <c r="X60" s="163"/>
      <c r="Y60" s="160"/>
      <c r="Z60" s="161"/>
      <c r="AA60" s="163"/>
      <c r="AB60" s="463"/>
      <c r="AC60" s="163"/>
      <c r="AD60" s="163"/>
      <c r="AE60" s="163"/>
      <c r="AF60" s="163"/>
      <c r="AG60" s="163"/>
      <c r="AH60" s="163"/>
      <c r="AI60" s="163"/>
      <c r="AJ60" s="163"/>
      <c r="AK60" s="163"/>
    </row>
    <row r="61" spans="3:37" s="459" customFormat="1" ht="18" x14ac:dyDescent="0.25">
      <c r="C61" s="458"/>
      <c r="D61" s="458"/>
      <c r="E61" s="458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534"/>
      <c r="T61" s="534"/>
      <c r="U61" s="462"/>
      <c r="V61" s="163"/>
      <c r="W61" s="534"/>
      <c r="X61" s="163"/>
      <c r="Y61" s="160"/>
      <c r="Z61" s="161"/>
      <c r="AA61" s="163"/>
      <c r="AB61" s="463"/>
      <c r="AC61" s="163"/>
      <c r="AD61" s="163"/>
      <c r="AE61" s="163"/>
      <c r="AF61" s="163"/>
      <c r="AG61" s="163"/>
      <c r="AH61" s="163"/>
      <c r="AI61" s="163"/>
      <c r="AJ61" s="163"/>
      <c r="AK61" s="163"/>
    </row>
    <row r="62" spans="3:37" s="459" customFormat="1" ht="18" x14ac:dyDescent="0.25">
      <c r="C62" s="458"/>
      <c r="D62" s="458" t="s">
        <v>424</v>
      </c>
      <c r="E62" s="458"/>
      <c r="G62" s="460"/>
      <c r="H62" s="460"/>
      <c r="I62" s="460"/>
      <c r="J62" s="460">
        <f>J45</f>
        <v>200</v>
      </c>
      <c r="K62" s="460"/>
      <c r="L62" s="460"/>
      <c r="M62" s="460"/>
      <c r="N62" s="460"/>
      <c r="O62" s="460"/>
      <c r="P62" s="460"/>
      <c r="Q62" s="460"/>
      <c r="R62" s="460"/>
      <c r="S62" s="916">
        <f>SUM(J62:R63)</f>
        <v>325</v>
      </c>
      <c r="T62" s="534"/>
      <c r="U62" s="462"/>
      <c r="V62" s="163"/>
      <c r="W62" s="917">
        <f>S62/1900</f>
        <v>0.17105263157894737</v>
      </c>
      <c r="X62" s="163"/>
      <c r="Y62" s="160"/>
      <c r="Z62" s="161"/>
      <c r="AA62" s="163"/>
      <c r="AB62" s="463"/>
      <c r="AC62" s="163"/>
      <c r="AD62" s="163"/>
      <c r="AE62" s="163"/>
      <c r="AF62" s="163"/>
      <c r="AG62" s="163"/>
      <c r="AH62" s="163"/>
      <c r="AI62" s="163"/>
      <c r="AJ62" s="163"/>
      <c r="AK62" s="163"/>
    </row>
    <row r="63" spans="3:37" s="459" customFormat="1" ht="18" x14ac:dyDescent="0.25">
      <c r="D63" s="458" t="s">
        <v>425</v>
      </c>
      <c r="E63" s="458"/>
      <c r="G63" s="460"/>
      <c r="H63" s="460"/>
      <c r="I63" s="460"/>
      <c r="K63" s="460"/>
      <c r="O63" s="460">
        <f t="shared" ref="O63:P63" si="12">O45</f>
        <v>125</v>
      </c>
      <c r="P63" s="460">
        <f t="shared" si="12"/>
        <v>0</v>
      </c>
      <c r="T63" s="534"/>
      <c r="U63" s="462"/>
      <c r="V63" s="163"/>
      <c r="W63" s="534"/>
      <c r="X63" s="163"/>
      <c r="Y63" s="160"/>
      <c r="Z63" s="161"/>
      <c r="AA63" s="163"/>
      <c r="AB63" s="463"/>
      <c r="AC63" s="163"/>
      <c r="AD63" s="163"/>
      <c r="AE63" s="163"/>
      <c r="AF63" s="163"/>
      <c r="AG63" s="163"/>
      <c r="AH63" s="163"/>
      <c r="AI63" s="163"/>
      <c r="AJ63" s="163"/>
      <c r="AK63" s="163"/>
    </row>
    <row r="64" spans="3:37" x14ac:dyDescent="0.25">
      <c r="D64" s="583" t="s">
        <v>249</v>
      </c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584">
        <f>SUM(S56:S62)</f>
        <v>1628.8</v>
      </c>
      <c r="W64" s="920">
        <f>T64/1900</f>
        <v>0.85726315789473684</v>
      </c>
    </row>
    <row r="65" spans="3:37" x14ac:dyDescent="0.25">
      <c r="G65" s="268">
        <f>SUM(G53:I54)</f>
        <v>2051.85</v>
      </c>
      <c r="H65" s="268"/>
      <c r="I65" s="268"/>
      <c r="J65" s="268"/>
      <c r="K65" s="268">
        <f>SUM(J57:R63)</f>
        <v>1117.2</v>
      </c>
      <c r="L65" s="268"/>
      <c r="M65" s="268"/>
      <c r="N65" s="268"/>
      <c r="O65" s="268"/>
      <c r="P65" s="268"/>
      <c r="Q65" s="268"/>
      <c r="R65" s="268"/>
      <c r="S65" s="268"/>
      <c r="T65" s="268"/>
      <c r="W65" s="268"/>
    </row>
    <row r="66" spans="3:37" x14ac:dyDescent="0.25">
      <c r="C66" s="583" t="s">
        <v>250</v>
      </c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585">
        <f>T51+T55-T64</f>
        <v>1220.3799999999999</v>
      </c>
      <c r="U66" s="722">
        <f>T45/1900</f>
        <v>0.6423052631578946</v>
      </c>
      <c r="W66" s="268"/>
      <c r="X66" s="517"/>
    </row>
    <row r="67" spans="3:37" x14ac:dyDescent="0.25"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3:37" x14ac:dyDescent="0.25"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</row>
    <row r="69" spans="3:37" x14ac:dyDescent="0.25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</row>
    <row r="70" spans="3:37" x14ac:dyDescent="0.25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</row>
    <row r="71" spans="3:37" x14ac:dyDescent="0.25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</row>
    <row r="72" spans="3:37" x14ac:dyDescent="0.25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</row>
    <row r="73" spans="3:37" x14ac:dyDescent="0.25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</row>
    <row r="74" spans="3:37" ht="15" x14ac:dyDescent="0.25">
      <c r="D74" s="155"/>
      <c r="E74" s="155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</row>
    <row r="75" spans="3:37" ht="15" x14ac:dyDescent="0.25">
      <c r="D75" s="155"/>
      <c r="E75" s="155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</row>
    <row r="76" spans="3:37" ht="15" x14ac:dyDescent="0.25">
      <c r="D76" s="155"/>
      <c r="E76" s="155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</row>
    <row r="77" spans="3:37" ht="15" x14ac:dyDescent="0.25">
      <c r="D77" s="155"/>
      <c r="E77" s="155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</row>
    <row r="78" spans="3:37" ht="15" x14ac:dyDescent="0.25">
      <c r="D78" s="155"/>
      <c r="E78" s="155"/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</row>
    <row r="79" spans="3:37" ht="15" x14ac:dyDescent="0.25">
      <c r="D79" s="155"/>
      <c r="E79" s="155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</row>
    <row r="80" spans="3:37" ht="15" x14ac:dyDescent="0.25">
      <c r="D80" s="155"/>
      <c r="E80" s="155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</row>
    <row r="81" spans="4:37" ht="15" x14ac:dyDescent="0.25">
      <c r="D81" s="155"/>
      <c r="E81" s="155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</row>
    <row r="82" spans="4:37" ht="15" x14ac:dyDescent="0.25">
      <c r="D82" s="155"/>
      <c r="E82" s="155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4:37" ht="15" x14ac:dyDescent="0.25">
      <c r="D83" s="155"/>
      <c r="E83" s="155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</row>
    <row r="84" spans="4:37" ht="15" x14ac:dyDescent="0.25">
      <c r="D84" s="155"/>
      <c r="E84" s="155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</row>
    <row r="85" spans="4:37" ht="15" x14ac:dyDescent="0.25">
      <c r="D85" s="155"/>
      <c r="E85" s="155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</row>
    <row r="86" spans="4:37" ht="15" x14ac:dyDescent="0.25">
      <c r="D86" s="155"/>
      <c r="E86" s="155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</row>
    <row r="87" spans="4:37" ht="15" x14ac:dyDescent="0.25">
      <c r="D87" s="155"/>
      <c r="E87" s="155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</row>
    <row r="88" spans="4:37" ht="15" x14ac:dyDescent="0.25">
      <c r="D88" s="155"/>
      <c r="E88" s="155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</row>
    <row r="89" spans="4:37" ht="15" x14ac:dyDescent="0.25">
      <c r="D89" s="155"/>
      <c r="E89" s="155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</row>
    <row r="90" spans="4:37" ht="15" x14ac:dyDescent="0.25">
      <c r="D90" s="155"/>
      <c r="E90" s="155"/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</row>
    <row r="91" spans="4:37" ht="15" x14ac:dyDescent="0.25">
      <c r="D91" s="155"/>
      <c r="E91" s="155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</row>
    <row r="92" spans="4:37" ht="15" x14ac:dyDescent="0.25">
      <c r="D92" s="155"/>
      <c r="E92" s="155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</row>
    <row r="93" spans="4:37" ht="15" x14ac:dyDescent="0.25">
      <c r="D93" s="155"/>
      <c r="E93" s="155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</row>
    <row r="94" spans="4:37" ht="15" x14ac:dyDescent="0.25">
      <c r="D94" s="155"/>
      <c r="E94" s="155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</row>
    <row r="95" spans="4:37" ht="15" x14ac:dyDescent="0.25">
      <c r="D95" s="155"/>
      <c r="E95" s="155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</row>
    <row r="96" spans="4:37" ht="15" x14ac:dyDescent="0.25">
      <c r="D96" s="155"/>
      <c r="E96" s="155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</row>
    <row r="97" spans="4:37" ht="15" x14ac:dyDescent="0.25">
      <c r="D97" s="155"/>
      <c r="E97" s="155"/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</row>
    <row r="98" spans="4:37" ht="15" x14ac:dyDescent="0.25">
      <c r="D98" s="155"/>
      <c r="E98" s="155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</row>
    <row r="99" spans="4:37" ht="15" x14ac:dyDescent="0.25">
      <c r="D99" s="155"/>
      <c r="E99" s="155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</row>
    <row r="100" spans="4:37" ht="15" x14ac:dyDescent="0.25">
      <c r="D100" s="155"/>
      <c r="E100" s="155"/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</row>
    <row r="101" spans="4:37" ht="15" x14ac:dyDescent="0.25">
      <c r="D101" s="155"/>
      <c r="E101" s="155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</row>
    <row r="102" spans="4:37" ht="15" x14ac:dyDescent="0.25">
      <c r="D102" s="155"/>
      <c r="E102" s="155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</row>
    <row r="103" spans="4:37" ht="15" x14ac:dyDescent="0.25">
      <c r="D103" s="155"/>
      <c r="E103" s="155"/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</row>
    <row r="104" spans="4:37" ht="15" x14ac:dyDescent="0.25">
      <c r="D104" s="155"/>
      <c r="E104" s="155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</row>
    <row r="105" spans="4:37" ht="15" x14ac:dyDescent="0.25">
      <c r="D105" s="155"/>
      <c r="E105" s="155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</row>
    <row r="106" spans="4:37" ht="15" x14ac:dyDescent="0.25">
      <c r="D106" s="155"/>
      <c r="E106" s="155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</row>
    <row r="107" spans="4:37" ht="15" x14ac:dyDescent="0.25">
      <c r="D107" s="155"/>
      <c r="E107" s="155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</row>
    <row r="108" spans="4:37" ht="15" x14ac:dyDescent="0.25">
      <c r="D108" s="155"/>
      <c r="E108" s="155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</row>
    <row r="109" spans="4:37" ht="15" x14ac:dyDescent="0.25">
      <c r="D109" s="155"/>
      <c r="E109" s="155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</row>
    <row r="110" spans="4:37" ht="15" x14ac:dyDescent="0.25">
      <c r="D110" s="155"/>
      <c r="E110" s="155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</row>
    <row r="111" spans="4:37" ht="15" x14ac:dyDescent="0.25">
      <c r="D111" s="155"/>
      <c r="E111" s="155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</row>
    <row r="112" spans="4:37" ht="15" x14ac:dyDescent="0.25">
      <c r="D112" s="155"/>
      <c r="E112" s="155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</row>
    <row r="113" spans="4:37" ht="15" x14ac:dyDescent="0.25">
      <c r="D113" s="155"/>
      <c r="E113" s="155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</row>
    <row r="114" spans="4:37" ht="15" x14ac:dyDescent="0.25">
      <c r="D114" s="155"/>
      <c r="E114" s="155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</row>
    <row r="115" spans="4:37" ht="15" x14ac:dyDescent="0.25">
      <c r="D115" s="155"/>
      <c r="E115" s="155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</row>
    <row r="116" spans="4:37" ht="15" x14ac:dyDescent="0.25">
      <c r="D116" s="155"/>
      <c r="E116" s="155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</row>
    <row r="117" spans="4:37" ht="15" x14ac:dyDescent="0.25">
      <c r="D117" s="155"/>
      <c r="E117" s="155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</row>
    <row r="118" spans="4:37" ht="15" x14ac:dyDescent="0.25">
      <c r="D118" s="155"/>
      <c r="E118" s="155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</row>
    <row r="119" spans="4:37" ht="15" x14ac:dyDescent="0.25">
      <c r="D119" s="155"/>
      <c r="E119" s="155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</row>
    <row r="120" spans="4:37" ht="15" x14ac:dyDescent="0.25">
      <c r="D120" s="155"/>
      <c r="E120" s="155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</row>
    <row r="121" spans="4:37" ht="15" x14ac:dyDescent="0.25">
      <c r="D121" s="155"/>
      <c r="E121" s="155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</row>
    <row r="122" spans="4:37" ht="15" x14ac:dyDescent="0.25">
      <c r="D122" s="155"/>
      <c r="E122" s="155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</row>
    <row r="123" spans="4:37" ht="15" x14ac:dyDescent="0.25">
      <c r="D123" s="155"/>
      <c r="E123" s="155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</row>
    <row r="124" spans="4:37" ht="15" x14ac:dyDescent="0.25">
      <c r="D124" s="155"/>
      <c r="E124" s="155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</row>
    <row r="125" spans="4:37" ht="15" x14ac:dyDescent="0.25">
      <c r="D125" s="155"/>
      <c r="E125" s="155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</row>
    <row r="126" spans="4:37" ht="15" x14ac:dyDescent="0.25">
      <c r="D126" s="155"/>
      <c r="E126" s="155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</row>
    <row r="127" spans="4:37" ht="15" x14ac:dyDescent="0.25">
      <c r="D127" s="155"/>
      <c r="E127" s="155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</row>
    <row r="128" spans="4:37" ht="15" x14ac:dyDescent="0.25">
      <c r="D128" s="155"/>
      <c r="E128" s="155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</row>
    <row r="129" spans="4:37" ht="15" x14ac:dyDescent="0.25">
      <c r="D129" s="155"/>
      <c r="E129" s="155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</row>
    <row r="130" spans="4:37" ht="15" x14ac:dyDescent="0.25">
      <c r="D130" s="155"/>
      <c r="E130" s="155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</row>
    <row r="131" spans="4:37" ht="15" x14ac:dyDescent="0.25">
      <c r="D131" s="155"/>
      <c r="E131" s="155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155"/>
      <c r="AK131" s="155"/>
    </row>
    <row r="132" spans="4:37" ht="15" x14ac:dyDescent="0.25">
      <c r="D132" s="155"/>
      <c r="E132" s="155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</row>
    <row r="133" spans="4:37" ht="15" x14ac:dyDescent="0.25">
      <c r="D133" s="155"/>
      <c r="E133" s="155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</row>
    <row r="134" spans="4:37" ht="15" x14ac:dyDescent="0.25">
      <c r="D134" s="155"/>
      <c r="E134" s="155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</row>
    <row r="135" spans="4:37" ht="15" x14ac:dyDescent="0.25">
      <c r="D135" s="155"/>
      <c r="E135" s="155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</row>
    <row r="136" spans="4:37" ht="15" x14ac:dyDescent="0.25">
      <c r="D136" s="155"/>
      <c r="E136" s="155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</row>
    <row r="137" spans="4:37" ht="15" x14ac:dyDescent="0.25">
      <c r="D137" s="155"/>
      <c r="E137" s="155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</row>
    <row r="138" spans="4:37" ht="15" x14ac:dyDescent="0.25">
      <c r="D138" s="155"/>
      <c r="E138" s="155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</row>
    <row r="139" spans="4:37" ht="15" x14ac:dyDescent="0.25">
      <c r="D139" s="155"/>
      <c r="E139" s="155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</row>
    <row r="140" spans="4:37" ht="15" x14ac:dyDescent="0.25">
      <c r="D140" s="155"/>
      <c r="E140" s="155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</row>
    <row r="141" spans="4:37" ht="15" x14ac:dyDescent="0.25">
      <c r="D141" s="155"/>
      <c r="E141" s="155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</row>
    <row r="142" spans="4:37" ht="15" x14ac:dyDescent="0.25">
      <c r="D142" s="155"/>
      <c r="E142" s="155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</row>
    <row r="143" spans="4:37" ht="15" x14ac:dyDescent="0.25">
      <c r="D143" s="155"/>
      <c r="E143" s="155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</row>
    <row r="144" spans="4:37" ht="15" x14ac:dyDescent="0.25">
      <c r="D144" s="155"/>
      <c r="E144" s="155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F144" s="155"/>
      <c r="AG144" s="155"/>
      <c r="AH144" s="155"/>
      <c r="AI144" s="155"/>
      <c r="AJ144" s="155"/>
      <c r="AK144" s="155"/>
    </row>
    <row r="145" spans="4:37" ht="15" x14ac:dyDescent="0.25">
      <c r="D145" s="155"/>
      <c r="E145" s="155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</row>
    <row r="146" spans="4:37" ht="15" x14ac:dyDescent="0.25">
      <c r="D146" s="155"/>
      <c r="E146" s="155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</row>
    <row r="147" spans="4:37" ht="15" x14ac:dyDescent="0.25">
      <c r="D147" s="155"/>
      <c r="E147" s="155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</row>
    <row r="148" spans="4:37" ht="15" x14ac:dyDescent="0.25">
      <c r="D148" s="155"/>
      <c r="E148" s="155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</row>
    <row r="149" spans="4:37" ht="15" x14ac:dyDescent="0.25">
      <c r="D149" s="155"/>
      <c r="E149" s="155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</row>
    <row r="150" spans="4:37" ht="15" x14ac:dyDescent="0.25">
      <c r="D150" s="155"/>
      <c r="E150" s="155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</row>
    <row r="151" spans="4:37" ht="15" x14ac:dyDescent="0.25">
      <c r="D151" s="155"/>
      <c r="E151" s="155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155"/>
      <c r="AK151" s="155"/>
    </row>
    <row r="152" spans="4:37" ht="15" x14ac:dyDescent="0.25">
      <c r="D152" s="155"/>
      <c r="E152" s="155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</row>
    <row r="153" spans="4:37" ht="15" x14ac:dyDescent="0.25">
      <c r="D153" s="155"/>
      <c r="E153" s="155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</row>
    <row r="154" spans="4:37" ht="15" x14ac:dyDescent="0.25">
      <c r="D154" s="155"/>
      <c r="E154" s="155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</row>
    <row r="155" spans="4:37" ht="15" x14ac:dyDescent="0.25">
      <c r="D155" s="155"/>
      <c r="E155" s="155"/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</row>
    <row r="156" spans="4:37" ht="15" x14ac:dyDescent="0.25">
      <c r="D156" s="155"/>
      <c r="E156" s="155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</row>
    <row r="157" spans="4:37" ht="15" x14ac:dyDescent="0.25">
      <c r="D157" s="155"/>
      <c r="E157" s="155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</row>
    <row r="158" spans="4:37" ht="15" x14ac:dyDescent="0.25">
      <c r="D158" s="155"/>
      <c r="E158" s="155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</row>
    <row r="159" spans="4:37" ht="15" x14ac:dyDescent="0.25">
      <c r="D159" s="155"/>
      <c r="E159" s="155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</row>
    <row r="160" spans="4:37" ht="15" x14ac:dyDescent="0.25">
      <c r="D160" s="155"/>
      <c r="E160" s="155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</row>
    <row r="161" spans="4:37" ht="15" x14ac:dyDescent="0.25">
      <c r="D161" s="155"/>
      <c r="E161" s="155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</row>
    <row r="162" spans="4:37" ht="15" x14ac:dyDescent="0.25">
      <c r="D162" s="155"/>
      <c r="E162" s="155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</row>
    <row r="163" spans="4:37" ht="15" x14ac:dyDescent="0.25">
      <c r="D163" s="155"/>
      <c r="E163" s="155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</row>
    <row r="164" spans="4:37" ht="15" x14ac:dyDescent="0.25">
      <c r="D164" s="155"/>
      <c r="E164" s="155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5"/>
      <c r="AK164" s="155"/>
    </row>
    <row r="165" spans="4:37" ht="15" x14ac:dyDescent="0.25">
      <c r="D165" s="155"/>
      <c r="E165" s="155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</row>
    <row r="166" spans="4:37" ht="15" x14ac:dyDescent="0.25">
      <c r="D166" s="155"/>
      <c r="E166" s="155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</row>
    <row r="167" spans="4:37" ht="15" x14ac:dyDescent="0.25">
      <c r="D167" s="155"/>
      <c r="E167" s="155"/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5"/>
      <c r="AK167" s="155"/>
    </row>
    <row r="168" spans="4:37" ht="15" x14ac:dyDescent="0.25">
      <c r="D168" s="155"/>
      <c r="E168" s="155"/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5"/>
      <c r="AK168" s="155"/>
    </row>
    <row r="169" spans="4:37" ht="15" x14ac:dyDescent="0.25">
      <c r="D169" s="155"/>
      <c r="E169" s="155"/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  <c r="AF169" s="155"/>
      <c r="AG169" s="155"/>
      <c r="AH169" s="155"/>
      <c r="AI169" s="155"/>
      <c r="AJ169" s="155"/>
      <c r="AK169" s="155"/>
    </row>
    <row r="170" spans="4:37" ht="15" x14ac:dyDescent="0.25">
      <c r="D170" s="155"/>
      <c r="E170" s="155"/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</row>
    <row r="171" spans="4:37" ht="15" x14ac:dyDescent="0.25">
      <c r="D171" s="155"/>
      <c r="E171" s="155"/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155"/>
      <c r="AI171" s="155"/>
      <c r="AJ171" s="155"/>
      <c r="AK171" s="155"/>
    </row>
    <row r="172" spans="4:37" ht="15" x14ac:dyDescent="0.25">
      <c r="D172" s="155"/>
      <c r="E172" s="155"/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155"/>
      <c r="AI172" s="155"/>
      <c r="AJ172" s="155"/>
      <c r="AK172" s="155"/>
    </row>
    <row r="173" spans="4:37" ht="15" x14ac:dyDescent="0.25">
      <c r="D173" s="155"/>
      <c r="E173" s="155"/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</row>
    <row r="174" spans="4:37" ht="15" x14ac:dyDescent="0.25">
      <c r="D174" s="155"/>
      <c r="E174" s="155"/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</row>
    <row r="175" spans="4:37" ht="15" x14ac:dyDescent="0.25">
      <c r="D175" s="155"/>
      <c r="E175" s="155"/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  <c r="AJ175" s="155"/>
      <c r="AK175" s="155"/>
    </row>
    <row r="176" spans="4:37" ht="15" x14ac:dyDescent="0.25">
      <c r="D176" s="155"/>
      <c r="E176" s="155"/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</row>
    <row r="177" spans="4:37" ht="15" x14ac:dyDescent="0.25">
      <c r="D177" s="155"/>
      <c r="E177" s="155"/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</row>
    <row r="178" spans="4:37" ht="15" x14ac:dyDescent="0.25">
      <c r="D178" s="155"/>
      <c r="E178" s="155"/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</row>
    <row r="179" spans="4:37" ht="15" x14ac:dyDescent="0.25">
      <c r="D179" s="155"/>
      <c r="E179" s="155"/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</row>
    <row r="180" spans="4:37" ht="15" x14ac:dyDescent="0.25">
      <c r="D180" s="155"/>
      <c r="E180" s="155"/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</row>
    <row r="181" spans="4:37" ht="15" x14ac:dyDescent="0.25">
      <c r="D181" s="155"/>
      <c r="E181" s="155"/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</row>
    <row r="182" spans="4:37" ht="15" x14ac:dyDescent="0.25">
      <c r="D182" s="155"/>
      <c r="E182" s="155"/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</row>
    <row r="183" spans="4:37" ht="15" x14ac:dyDescent="0.25">
      <c r="D183" s="155"/>
      <c r="E183" s="155"/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</row>
    <row r="184" spans="4:37" ht="15" x14ac:dyDescent="0.25">
      <c r="D184" s="155"/>
      <c r="E184" s="155"/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</row>
    <row r="185" spans="4:37" ht="15" x14ac:dyDescent="0.25">
      <c r="D185" s="155"/>
      <c r="E185" s="155"/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5"/>
      <c r="AK185" s="155"/>
    </row>
    <row r="186" spans="4:37" ht="15" x14ac:dyDescent="0.25">
      <c r="D186" s="155"/>
      <c r="E186" s="155"/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5"/>
      <c r="AK186" s="155"/>
    </row>
    <row r="187" spans="4:37" ht="15" x14ac:dyDescent="0.25">
      <c r="D187" s="155"/>
      <c r="E187" s="155"/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F187" s="155"/>
      <c r="AG187" s="155"/>
      <c r="AH187" s="155"/>
      <c r="AI187" s="155"/>
      <c r="AJ187" s="155"/>
      <c r="AK187" s="155"/>
    </row>
    <row r="188" spans="4:37" ht="15" x14ac:dyDescent="0.25">
      <c r="D188" s="155"/>
      <c r="E188" s="155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</row>
    <row r="189" spans="4:37" ht="15" x14ac:dyDescent="0.25">
      <c r="D189" s="155"/>
      <c r="E189" s="155"/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</row>
    <row r="190" spans="4:37" ht="15" x14ac:dyDescent="0.25">
      <c r="D190" s="155"/>
      <c r="E190" s="155"/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</row>
    <row r="191" spans="4:37" ht="15" x14ac:dyDescent="0.25">
      <c r="D191" s="155"/>
      <c r="E191" s="155"/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</row>
    <row r="192" spans="4:37" ht="15" x14ac:dyDescent="0.25">
      <c r="D192" s="155"/>
      <c r="E192" s="155"/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</row>
    <row r="193" spans="4:37" ht="15" x14ac:dyDescent="0.25">
      <c r="D193" s="155"/>
      <c r="E193" s="155"/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55"/>
      <c r="AE193" s="155"/>
      <c r="AF193" s="155"/>
      <c r="AG193" s="155"/>
      <c r="AH193" s="155"/>
      <c r="AI193" s="155"/>
      <c r="AJ193" s="155"/>
      <c r="AK193" s="155"/>
    </row>
    <row r="194" spans="4:37" ht="15" x14ac:dyDescent="0.25">
      <c r="D194" s="155"/>
      <c r="E194" s="155"/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</row>
    <row r="195" spans="4:37" ht="15" x14ac:dyDescent="0.25">
      <c r="D195" s="155"/>
      <c r="E195" s="155"/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5"/>
    </row>
    <row r="196" spans="4:37" ht="15" x14ac:dyDescent="0.25">
      <c r="D196" s="155"/>
      <c r="E196" s="155"/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155"/>
      <c r="V196" s="155"/>
      <c r="W196" s="155"/>
      <c r="X196" s="155"/>
      <c r="Y196" s="155"/>
      <c r="Z196" s="155"/>
      <c r="AA196" s="155"/>
      <c r="AB196" s="155"/>
      <c r="AC196" s="155"/>
      <c r="AD196" s="155"/>
      <c r="AE196" s="155"/>
      <c r="AF196" s="155"/>
      <c r="AG196" s="155"/>
      <c r="AH196" s="155"/>
      <c r="AI196" s="155"/>
      <c r="AJ196" s="155"/>
      <c r="AK196" s="155"/>
    </row>
    <row r="197" spans="4:37" ht="15" x14ac:dyDescent="0.25">
      <c r="D197" s="155"/>
      <c r="E197" s="155"/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55"/>
      <c r="AE197" s="155"/>
      <c r="AF197" s="155"/>
      <c r="AG197" s="155"/>
      <c r="AH197" s="155"/>
      <c r="AI197" s="155"/>
      <c r="AJ197" s="155"/>
      <c r="AK197" s="155"/>
    </row>
    <row r="198" spans="4:37" ht="15" x14ac:dyDescent="0.25">
      <c r="D198" s="155"/>
      <c r="E198" s="155"/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5"/>
    </row>
    <row r="199" spans="4:37" ht="15" x14ac:dyDescent="0.25">
      <c r="D199" s="155"/>
      <c r="E199" s="155"/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</row>
    <row r="200" spans="4:37" ht="15" x14ac:dyDescent="0.25">
      <c r="D200" s="155"/>
      <c r="E200" s="155"/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155"/>
      <c r="V200" s="155"/>
      <c r="W200" s="155"/>
      <c r="X200" s="155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</row>
    <row r="201" spans="4:37" ht="15" x14ac:dyDescent="0.25">
      <c r="D201" s="155"/>
      <c r="E201" s="155"/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</row>
    <row r="202" spans="4:37" ht="15" x14ac:dyDescent="0.25">
      <c r="D202" s="155"/>
      <c r="E202" s="155"/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</row>
    <row r="203" spans="4:37" ht="15" x14ac:dyDescent="0.25">
      <c r="D203" s="155"/>
      <c r="E203" s="155"/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</row>
    <row r="204" spans="4:37" ht="15" x14ac:dyDescent="0.25">
      <c r="D204" s="155"/>
      <c r="E204" s="155"/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</row>
    <row r="205" spans="4:37" ht="15" x14ac:dyDescent="0.25">
      <c r="D205" s="155"/>
      <c r="E205" s="155"/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F205" s="155"/>
      <c r="AG205" s="155"/>
      <c r="AH205" s="155"/>
      <c r="AI205" s="155"/>
      <c r="AJ205" s="155"/>
      <c r="AK205" s="155"/>
    </row>
    <row r="206" spans="4:37" ht="15" x14ac:dyDescent="0.25">
      <c r="D206" s="155"/>
      <c r="E206" s="155"/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  <c r="AF206" s="155"/>
      <c r="AG206" s="155"/>
      <c r="AH206" s="155"/>
      <c r="AI206" s="155"/>
      <c r="AJ206" s="155"/>
      <c r="AK206" s="155"/>
    </row>
    <row r="207" spans="4:37" ht="15" x14ac:dyDescent="0.25">
      <c r="D207" s="155"/>
      <c r="E207" s="155"/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5"/>
    </row>
    <row r="208" spans="4:37" ht="15" x14ac:dyDescent="0.25">
      <c r="D208" s="155"/>
      <c r="E208" s="155"/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  <c r="AF208" s="155"/>
      <c r="AG208" s="155"/>
      <c r="AH208" s="155"/>
      <c r="AI208" s="155"/>
      <c r="AJ208" s="155"/>
      <c r="AK208" s="155"/>
    </row>
    <row r="209" spans="4:37" ht="15" x14ac:dyDescent="0.25">
      <c r="D209" s="155"/>
      <c r="E209" s="155"/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5"/>
      <c r="AF209" s="155"/>
      <c r="AG209" s="155"/>
      <c r="AH209" s="155"/>
      <c r="AI209" s="155"/>
      <c r="AJ209" s="155"/>
      <c r="AK209" s="155"/>
    </row>
    <row r="210" spans="4:37" ht="15" x14ac:dyDescent="0.25">
      <c r="D210" s="155"/>
      <c r="E210" s="155"/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5"/>
      <c r="AF210" s="155"/>
      <c r="AG210" s="155"/>
      <c r="AH210" s="155"/>
      <c r="AI210" s="155"/>
      <c r="AJ210" s="155"/>
      <c r="AK210" s="155"/>
    </row>
    <row r="211" spans="4:37" ht="15" x14ac:dyDescent="0.25">
      <c r="D211" s="155"/>
      <c r="E211" s="155"/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  <c r="AF211" s="155"/>
      <c r="AG211" s="155"/>
      <c r="AH211" s="155"/>
      <c r="AI211" s="155"/>
      <c r="AJ211" s="155"/>
      <c r="AK211" s="155"/>
    </row>
    <row r="212" spans="4:37" ht="15" x14ac:dyDescent="0.25">
      <c r="D212" s="155"/>
      <c r="E212" s="155"/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  <c r="AF212" s="155"/>
      <c r="AG212" s="155"/>
      <c r="AH212" s="155"/>
      <c r="AI212" s="155"/>
      <c r="AJ212" s="155"/>
      <c r="AK212" s="155"/>
    </row>
    <row r="213" spans="4:37" ht="15" x14ac:dyDescent="0.25">
      <c r="D213" s="155"/>
      <c r="E213" s="155"/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  <c r="AF213" s="155"/>
      <c r="AG213" s="155"/>
      <c r="AH213" s="155"/>
      <c r="AI213" s="155"/>
      <c r="AJ213" s="155"/>
      <c r="AK213" s="155"/>
    </row>
    <row r="214" spans="4:37" ht="15" x14ac:dyDescent="0.25">
      <c r="D214" s="155"/>
      <c r="E214" s="155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155"/>
      <c r="V214" s="155"/>
      <c r="W214" s="155"/>
      <c r="X214" s="155"/>
      <c r="Y214" s="155"/>
      <c r="Z214" s="155"/>
      <c r="AA214" s="155"/>
      <c r="AB214" s="155"/>
      <c r="AC214" s="155"/>
      <c r="AD214" s="155"/>
      <c r="AE214" s="155"/>
      <c r="AF214" s="155"/>
      <c r="AG214" s="155"/>
      <c r="AH214" s="155"/>
      <c r="AI214" s="155"/>
      <c r="AJ214" s="155"/>
      <c r="AK214" s="155"/>
    </row>
    <row r="215" spans="4:37" ht="15" x14ac:dyDescent="0.25">
      <c r="D215" s="155"/>
      <c r="E215" s="155"/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55"/>
      <c r="AK215" s="155"/>
    </row>
    <row r="216" spans="4:37" ht="15" x14ac:dyDescent="0.25">
      <c r="D216" s="155"/>
      <c r="E216" s="155"/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  <c r="AF216" s="155"/>
      <c r="AG216" s="155"/>
      <c r="AH216" s="155"/>
      <c r="AI216" s="155"/>
      <c r="AJ216" s="155"/>
      <c r="AK216" s="155"/>
    </row>
    <row r="217" spans="4:37" ht="15" x14ac:dyDescent="0.25">
      <c r="D217" s="155"/>
      <c r="E217" s="155"/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55"/>
      <c r="AE217" s="155"/>
      <c r="AF217" s="155"/>
      <c r="AG217" s="155"/>
      <c r="AH217" s="155"/>
      <c r="AI217" s="155"/>
      <c r="AJ217" s="155"/>
      <c r="AK217" s="155"/>
    </row>
    <row r="218" spans="4:37" ht="15" x14ac:dyDescent="0.25">
      <c r="D218" s="155"/>
      <c r="E218" s="155"/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155"/>
      <c r="V218" s="155"/>
      <c r="W218" s="155"/>
      <c r="X218" s="155"/>
      <c r="Y218" s="155"/>
      <c r="Z218" s="155"/>
      <c r="AA218" s="155"/>
      <c r="AB218" s="155"/>
      <c r="AC218" s="155"/>
      <c r="AD218" s="155"/>
      <c r="AE218" s="155"/>
      <c r="AF218" s="155"/>
      <c r="AG218" s="155"/>
      <c r="AH218" s="155"/>
      <c r="AI218" s="155"/>
      <c r="AJ218" s="155"/>
      <c r="AK218" s="155"/>
    </row>
    <row r="219" spans="4:37" ht="15" x14ac:dyDescent="0.25">
      <c r="D219" s="155"/>
      <c r="E219" s="155"/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155"/>
      <c r="V219" s="155"/>
      <c r="W219" s="155"/>
      <c r="X219" s="155"/>
      <c r="Y219" s="155"/>
      <c r="Z219" s="155"/>
      <c r="AA219" s="155"/>
      <c r="AB219" s="155"/>
      <c r="AC219" s="155"/>
      <c r="AD219" s="155"/>
      <c r="AE219" s="155"/>
      <c r="AF219" s="155"/>
      <c r="AG219" s="155"/>
      <c r="AH219" s="155"/>
      <c r="AI219" s="155"/>
      <c r="AJ219" s="155"/>
      <c r="AK219" s="155"/>
    </row>
    <row r="220" spans="4:37" ht="15" x14ac:dyDescent="0.25">
      <c r="D220" s="155"/>
      <c r="E220" s="155"/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55"/>
      <c r="AE220" s="155"/>
      <c r="AF220" s="155"/>
      <c r="AG220" s="155"/>
      <c r="AH220" s="155"/>
      <c r="AI220" s="155"/>
      <c r="AJ220" s="155"/>
      <c r="AK220" s="155"/>
    </row>
    <row r="221" spans="4:37" ht="15" x14ac:dyDescent="0.25">
      <c r="D221" s="155"/>
      <c r="E221" s="155"/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155"/>
      <c r="V221" s="155"/>
      <c r="W221" s="155"/>
      <c r="X221" s="155"/>
      <c r="Y221" s="155"/>
      <c r="Z221" s="155"/>
      <c r="AA221" s="155"/>
      <c r="AB221" s="155"/>
      <c r="AC221" s="155"/>
      <c r="AD221" s="155"/>
      <c r="AE221" s="155"/>
      <c r="AF221" s="155"/>
      <c r="AG221" s="155"/>
      <c r="AH221" s="155"/>
      <c r="AI221" s="155"/>
      <c r="AJ221" s="155"/>
      <c r="AK221" s="155"/>
    </row>
    <row r="222" spans="4:37" ht="15" x14ac:dyDescent="0.25">
      <c r="D222" s="155"/>
      <c r="E222" s="155"/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55"/>
      <c r="AJ222" s="155"/>
      <c r="AK222" s="155"/>
    </row>
    <row r="223" spans="4:37" ht="15" x14ac:dyDescent="0.25">
      <c r="D223" s="155"/>
      <c r="E223" s="155"/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</row>
    <row r="224" spans="4:37" ht="15" x14ac:dyDescent="0.25">
      <c r="D224" s="155"/>
      <c r="E224" s="155"/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</row>
    <row r="225" spans="4:37" ht="15" x14ac:dyDescent="0.25">
      <c r="D225" s="155"/>
      <c r="E225" s="155"/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</row>
  </sheetData>
  <mergeCells count="4">
    <mergeCell ref="B2:T2"/>
    <mergeCell ref="B4:E4"/>
    <mergeCell ref="G4:I4"/>
    <mergeCell ref="J4:R4"/>
  </mergeCells>
  <conditionalFormatting sqref="J7:R7">
    <cfRule type="expression" dxfId="1" priority="1">
      <formula>"&lt;0"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209"/>
  <sheetViews>
    <sheetView zoomScale="75" zoomScaleNormal="75" zoomScalePageLayoutView="75" workbookViewId="0">
      <selection activeCell="B2" sqref="B2:T2"/>
    </sheetView>
  </sheetViews>
  <sheetFormatPr baseColWidth="10" defaultColWidth="9.1640625" defaultRowHeight="19" x14ac:dyDescent="0.25"/>
  <cols>
    <col min="1" max="1" width="1.33203125" style="155" customWidth="1"/>
    <col min="2" max="2" width="11.83203125" style="155" customWidth="1"/>
    <col min="3" max="3" width="19.6640625" style="155" customWidth="1"/>
    <col min="4" max="4" width="51.5" style="267" customWidth="1"/>
    <col min="5" max="5" width="30.1640625" style="267" customWidth="1"/>
    <col min="6" max="18" width="12.83203125" style="155" customWidth="1"/>
    <col min="19" max="19" width="13.83203125" style="155" customWidth="1"/>
    <col min="20" max="20" width="15.1640625" style="155" customWidth="1"/>
    <col min="21" max="21" width="10.5" style="269" customWidth="1"/>
    <col min="22" max="22" width="1.33203125" style="159" customWidth="1"/>
    <col min="23" max="23" width="20.1640625" style="203" customWidth="1"/>
    <col min="24" max="24" width="15.33203125" style="159" customWidth="1"/>
    <col min="25" max="25" width="13.5" style="160" bestFit="1" customWidth="1"/>
    <col min="26" max="26" width="9.1640625" style="161"/>
    <col min="27" max="27" width="2.5" style="159" customWidth="1"/>
    <col min="28" max="28" width="9.83203125" style="266" customWidth="1"/>
    <col min="29" max="29" width="30.83203125" style="163" customWidth="1"/>
    <col min="30" max="30" width="1.6640625" style="163" customWidth="1"/>
    <col min="31" max="37" width="9.1640625" style="159"/>
    <col min="38" max="16384" width="9.1640625" style="155"/>
  </cols>
  <sheetData>
    <row r="2" spans="2:37" ht="30" x14ac:dyDescent="0.3">
      <c r="B2" s="1228" t="s">
        <v>392</v>
      </c>
      <c r="C2" s="1228"/>
      <c r="D2" s="1228"/>
      <c r="E2" s="1228"/>
      <c r="F2" s="1228"/>
      <c r="G2" s="1228"/>
      <c r="H2" s="1228"/>
      <c r="I2" s="1228"/>
      <c r="J2" s="1228"/>
      <c r="K2" s="1228"/>
      <c r="L2" s="1228"/>
      <c r="M2" s="1228"/>
      <c r="N2" s="1228"/>
      <c r="O2" s="1228"/>
      <c r="P2" s="1228"/>
      <c r="Q2" s="1228"/>
      <c r="R2" s="1228"/>
      <c r="S2" s="1228"/>
      <c r="T2" s="1228"/>
    </row>
    <row r="3" spans="2:37" ht="20" thickBot="1" x14ac:dyDescent="0.3"/>
    <row r="4" spans="2:37" s="269" customFormat="1" ht="19.5" customHeight="1" thickTop="1" x14ac:dyDescent="0.25">
      <c r="B4" s="1214" t="s">
        <v>393</v>
      </c>
      <c r="C4" s="1215"/>
      <c r="D4" s="1215"/>
      <c r="E4" s="1216"/>
      <c r="F4" s="495"/>
      <c r="G4" s="1217" t="s">
        <v>174</v>
      </c>
      <c r="H4" s="1218"/>
      <c r="I4" s="1219"/>
      <c r="J4" s="1220" t="s">
        <v>175</v>
      </c>
      <c r="K4" s="1221"/>
      <c r="L4" s="1221"/>
      <c r="M4" s="1221"/>
      <c r="N4" s="1221"/>
      <c r="O4" s="1221"/>
      <c r="P4" s="1221"/>
      <c r="Q4" s="1221"/>
      <c r="R4" s="1221"/>
      <c r="S4" s="496"/>
      <c r="T4" s="878"/>
      <c r="U4" s="497"/>
      <c r="V4" s="180"/>
      <c r="W4" s="273"/>
      <c r="X4" s="180"/>
      <c r="Y4" s="404"/>
      <c r="Z4" s="161"/>
      <c r="AA4" s="180"/>
      <c r="AB4" s="405"/>
      <c r="AC4" s="182"/>
      <c r="AD4" s="182"/>
      <c r="AE4" s="180"/>
      <c r="AF4" s="180"/>
      <c r="AG4" s="180"/>
      <c r="AH4" s="180"/>
      <c r="AI4" s="180"/>
      <c r="AJ4" s="180"/>
      <c r="AK4" s="180"/>
    </row>
    <row r="5" spans="2:37" s="286" customFormat="1" ht="52.5" customHeight="1" thickBot="1" x14ac:dyDescent="0.25">
      <c r="B5" s="498" t="s">
        <v>73</v>
      </c>
      <c r="C5" s="275" t="s">
        <v>74</v>
      </c>
      <c r="D5" s="276" t="s">
        <v>75</v>
      </c>
      <c r="E5" s="277" t="s">
        <v>76</v>
      </c>
      <c r="F5" s="278" t="s">
        <v>77</v>
      </c>
      <c r="G5" s="279" t="s">
        <v>78</v>
      </c>
      <c r="H5" s="275" t="s">
        <v>79</v>
      </c>
      <c r="I5" s="278" t="s">
        <v>80</v>
      </c>
      <c r="J5" s="279" t="s">
        <v>81</v>
      </c>
      <c r="K5" s="275" t="s">
        <v>82</v>
      </c>
      <c r="L5" s="275" t="s">
        <v>83</v>
      </c>
      <c r="M5" s="275" t="s">
        <v>84</v>
      </c>
      <c r="N5" s="275" t="s">
        <v>85</v>
      </c>
      <c r="O5" s="277" t="s">
        <v>127</v>
      </c>
      <c r="P5" s="277"/>
      <c r="Q5" s="277" t="s">
        <v>128</v>
      </c>
      <c r="R5" s="277" t="s">
        <v>80</v>
      </c>
      <c r="S5" s="280" t="s">
        <v>86</v>
      </c>
      <c r="T5" s="281" t="s">
        <v>87</v>
      </c>
      <c r="U5" s="728" t="s">
        <v>129</v>
      </c>
      <c r="V5" s="282"/>
      <c r="W5" s="283"/>
      <c r="X5" s="282"/>
      <c r="Y5" s="407"/>
      <c r="Z5" s="408"/>
      <c r="AA5" s="282"/>
      <c r="AB5" s="409"/>
      <c r="AC5" s="409"/>
      <c r="AD5" s="285"/>
      <c r="AE5" s="282"/>
      <c r="AF5" s="282"/>
      <c r="AG5" s="282"/>
      <c r="AH5" s="282"/>
      <c r="AI5" s="282"/>
      <c r="AJ5" s="282"/>
      <c r="AK5" s="282"/>
    </row>
    <row r="6" spans="2:37" s="180" customFormat="1" ht="22" thickTop="1" x14ac:dyDescent="0.25">
      <c r="B6" s="500"/>
      <c r="C6" s="288"/>
      <c r="D6" s="288" t="s">
        <v>3</v>
      </c>
      <c r="E6" s="289"/>
      <c r="F6" s="290"/>
      <c r="G6" s="291">
        <v>2063</v>
      </c>
      <c r="H6" s="292">
        <v>0</v>
      </c>
      <c r="I6" s="293">
        <v>18.71</v>
      </c>
      <c r="J6" s="291">
        <v>75</v>
      </c>
      <c r="K6" s="292">
        <v>500</v>
      </c>
      <c r="L6" s="292">
        <v>262</v>
      </c>
      <c r="M6" s="847">
        <f>100+27</f>
        <v>127</v>
      </c>
      <c r="N6" s="292">
        <f>28+122+225</f>
        <v>375</v>
      </c>
      <c r="O6" s="294">
        <v>125</v>
      </c>
      <c r="P6" s="294"/>
      <c r="Q6" s="294">
        <v>16</v>
      </c>
      <c r="R6" s="294">
        <v>0</v>
      </c>
      <c r="S6" s="295">
        <f>SUM(J6:R6)</f>
        <v>1480</v>
      </c>
      <c r="T6" s="730">
        <v>1220.3800000000001</v>
      </c>
      <c r="U6" s="879"/>
      <c r="W6" s="273"/>
      <c r="Y6" s="160"/>
      <c r="Z6" s="161"/>
      <c r="AD6" s="171"/>
    </row>
    <row r="7" spans="2:37" s="180" customFormat="1" ht="22" thickBot="1" x14ac:dyDescent="0.3">
      <c r="B7" s="506"/>
      <c r="C7" s="299"/>
      <c r="D7" s="299" t="s">
        <v>130</v>
      </c>
      <c r="E7" s="300"/>
      <c r="F7" s="301"/>
      <c r="G7" s="302"/>
      <c r="H7" s="303"/>
      <c r="I7" s="304"/>
      <c r="J7" s="305">
        <f t="shared" ref="J7:R7" si="0">J6-J36</f>
        <v>-175</v>
      </c>
      <c r="K7" s="305">
        <f t="shared" si="0"/>
        <v>-532.57999999999993</v>
      </c>
      <c r="L7" s="305">
        <f t="shared" si="0"/>
        <v>-9.6100000000000136</v>
      </c>
      <c r="M7" s="305">
        <f t="shared" si="0"/>
        <v>-68.5</v>
      </c>
      <c r="N7" s="305">
        <f t="shared" si="0"/>
        <v>-26.139999999999986</v>
      </c>
      <c r="O7" s="305">
        <f t="shared" si="0"/>
        <v>0</v>
      </c>
      <c r="P7" s="305">
        <f t="shared" si="0"/>
        <v>0</v>
      </c>
      <c r="Q7" s="305">
        <f t="shared" si="0"/>
        <v>16</v>
      </c>
      <c r="R7" s="306">
        <f t="shared" si="0"/>
        <v>-8.44</v>
      </c>
      <c r="S7" s="307">
        <f>SUM(J7:R7)</f>
        <v>-804.27</v>
      </c>
      <c r="T7" s="308"/>
      <c r="U7" s="880"/>
      <c r="W7" s="273"/>
      <c r="Y7" s="160"/>
      <c r="Z7" s="161"/>
      <c r="AB7" s="181"/>
      <c r="AC7" s="182"/>
      <c r="AD7" s="182"/>
    </row>
    <row r="8" spans="2:37" s="180" customFormat="1" ht="21" x14ac:dyDescent="0.25">
      <c r="B8" s="733">
        <v>42103</v>
      </c>
      <c r="C8" s="734" t="s">
        <v>140</v>
      </c>
      <c r="D8" s="735" t="s">
        <v>141</v>
      </c>
      <c r="E8" s="736"/>
      <c r="F8" s="737"/>
      <c r="G8" s="738">
        <v>950</v>
      </c>
      <c r="H8" s="739"/>
      <c r="I8" s="740"/>
      <c r="J8" s="738"/>
      <c r="K8" s="739"/>
      <c r="L8" s="739"/>
      <c r="M8" s="741"/>
      <c r="N8" s="741"/>
      <c r="O8" s="742"/>
      <c r="P8" s="742"/>
      <c r="Q8" s="742"/>
      <c r="R8" s="742"/>
      <c r="S8" s="743">
        <f t="shared" ref="S8:S18" si="1">SUM(J8:R8)</f>
        <v>0</v>
      </c>
      <c r="T8" s="322">
        <f>T6+SUM(G8:I8)-S8</f>
        <v>2170.38</v>
      </c>
      <c r="U8" s="881" t="s">
        <v>23</v>
      </c>
      <c r="W8" s="745"/>
      <c r="Y8" s="160"/>
      <c r="Z8" s="161"/>
      <c r="AB8" s="181"/>
      <c r="AC8" s="182"/>
      <c r="AD8" s="182"/>
    </row>
    <row r="9" spans="2:37" s="180" customFormat="1" ht="21" x14ac:dyDescent="0.25">
      <c r="B9" s="850">
        <v>42103</v>
      </c>
      <c r="C9" s="851" t="s">
        <v>140</v>
      </c>
      <c r="D9" s="852" t="s">
        <v>394</v>
      </c>
      <c r="E9" s="759"/>
      <c r="F9" s="853"/>
      <c r="G9" s="854">
        <v>92.83</v>
      </c>
      <c r="H9" s="855"/>
      <c r="I9" s="856"/>
      <c r="J9" s="854"/>
      <c r="K9" s="855"/>
      <c r="L9" s="855"/>
      <c r="M9" s="857"/>
      <c r="N9" s="857"/>
      <c r="O9" s="858"/>
      <c r="P9" s="858"/>
      <c r="Q9" s="858"/>
      <c r="R9" s="858"/>
      <c r="S9" s="373">
        <f t="shared" si="1"/>
        <v>0</v>
      </c>
      <c r="T9" s="332">
        <f t="shared" ref="T9:T10" si="2">T8+SUM(G9:I9)-S9</f>
        <v>2263.21</v>
      </c>
      <c r="U9" s="882" t="s">
        <v>23</v>
      </c>
      <c r="W9" s="745"/>
      <c r="Y9" s="160"/>
      <c r="Z9" s="161"/>
      <c r="AB9" s="181"/>
      <c r="AC9" s="182"/>
      <c r="AD9" s="182"/>
    </row>
    <row r="10" spans="2:37" s="180" customFormat="1" ht="21" x14ac:dyDescent="0.25">
      <c r="B10" s="696">
        <v>42079</v>
      </c>
      <c r="C10" s="215" t="s">
        <v>395</v>
      </c>
      <c r="D10" s="216" t="s">
        <v>396</v>
      </c>
      <c r="E10" s="860" t="s">
        <v>397</v>
      </c>
      <c r="F10" s="354">
        <v>100436</v>
      </c>
      <c r="G10" s="327"/>
      <c r="H10" s="221"/>
      <c r="I10" s="328"/>
      <c r="J10" s="329"/>
      <c r="K10" s="221"/>
      <c r="L10" s="221"/>
      <c r="M10" s="221"/>
      <c r="N10" s="221">
        <v>24</v>
      </c>
      <c r="O10" s="330"/>
      <c r="P10" s="330"/>
      <c r="Q10" s="330"/>
      <c r="R10" s="330">
        <v>6</v>
      </c>
      <c r="S10" s="373">
        <f t="shared" si="1"/>
        <v>30</v>
      </c>
      <c r="T10" s="332">
        <f t="shared" si="2"/>
        <v>2233.21</v>
      </c>
      <c r="U10" s="883" t="s">
        <v>23</v>
      </c>
      <c r="W10" s="745"/>
      <c r="Y10" s="160"/>
      <c r="Z10" s="161"/>
      <c r="AB10" s="181"/>
      <c r="AC10" s="203"/>
      <c r="AD10" s="182"/>
    </row>
    <row r="11" spans="2:37" s="180" customFormat="1" ht="21" x14ac:dyDescent="0.25">
      <c r="B11" s="696">
        <v>42095</v>
      </c>
      <c r="C11" s="215" t="s">
        <v>114</v>
      </c>
      <c r="D11" s="216" t="s">
        <v>398</v>
      </c>
      <c r="E11" s="860" t="s">
        <v>397</v>
      </c>
      <c r="F11" s="354">
        <v>100437</v>
      </c>
      <c r="G11" s="327"/>
      <c r="H11" s="221"/>
      <c r="I11" s="328"/>
      <c r="J11" s="329"/>
      <c r="K11" s="221"/>
      <c r="L11" s="221"/>
      <c r="M11" s="221"/>
      <c r="N11" s="221">
        <v>123</v>
      </c>
      <c r="O11" s="351"/>
      <c r="P11" s="351"/>
      <c r="Q11" s="351"/>
      <c r="R11" s="351"/>
      <c r="S11" s="373">
        <f t="shared" si="1"/>
        <v>123</v>
      </c>
      <c r="T11" s="332">
        <f>T10+SUM(G11:I11)-S11</f>
        <v>2110.21</v>
      </c>
      <c r="U11" s="882" t="s">
        <v>23</v>
      </c>
      <c r="W11" s="745"/>
      <c r="Y11" s="160"/>
      <c r="Z11" s="161"/>
      <c r="AB11" s="181"/>
      <c r="AC11" s="203"/>
      <c r="AD11" s="182"/>
    </row>
    <row r="12" spans="2:37" s="159" customFormat="1" ht="21" x14ac:dyDescent="0.25">
      <c r="B12" s="696">
        <v>42136</v>
      </c>
      <c r="C12" s="215" t="s">
        <v>399</v>
      </c>
      <c r="D12" s="216" t="s">
        <v>400</v>
      </c>
      <c r="E12" s="860" t="s">
        <v>397</v>
      </c>
      <c r="F12" s="326">
        <v>100438</v>
      </c>
      <c r="G12" s="327"/>
      <c r="H12" s="221"/>
      <c r="I12" s="328"/>
      <c r="J12" s="329"/>
      <c r="K12" s="221">
        <v>25.8</v>
      </c>
      <c r="L12" s="221"/>
      <c r="M12" s="221"/>
      <c r="N12" s="221"/>
      <c r="O12" s="330"/>
      <c r="P12" s="330"/>
      <c r="Q12" s="330"/>
      <c r="R12" s="330"/>
      <c r="S12" s="373">
        <f t="shared" si="1"/>
        <v>25.8</v>
      </c>
      <c r="T12" s="332">
        <f t="shared" ref="T12:T21" si="3">T11+SUM(G12:I12)-S12</f>
        <v>2084.41</v>
      </c>
      <c r="U12" s="883" t="s">
        <v>23</v>
      </c>
      <c r="W12" s="334"/>
      <c r="Y12" s="160"/>
      <c r="Z12" s="161"/>
      <c r="AB12" s="181"/>
      <c r="AC12" s="203"/>
      <c r="AD12" s="182"/>
    </row>
    <row r="13" spans="2:37" s="159" customFormat="1" ht="21" x14ac:dyDescent="0.25">
      <c r="B13" s="696">
        <v>42136</v>
      </c>
      <c r="C13" s="215" t="s">
        <v>399</v>
      </c>
      <c r="D13" s="216" t="s">
        <v>401</v>
      </c>
      <c r="E13" s="860" t="s">
        <v>397</v>
      </c>
      <c r="F13" s="326">
        <v>100439</v>
      </c>
      <c r="G13" s="327"/>
      <c r="H13" s="221"/>
      <c r="I13" s="328"/>
      <c r="J13" s="329"/>
      <c r="K13" s="221">
        <v>103.4</v>
      </c>
      <c r="L13" s="221"/>
      <c r="M13" s="221"/>
      <c r="N13" s="221"/>
      <c r="O13" s="330"/>
      <c r="P13" s="330"/>
      <c r="Q13" s="330"/>
      <c r="R13" s="330"/>
      <c r="S13" s="373">
        <f t="shared" si="1"/>
        <v>103.4</v>
      </c>
      <c r="T13" s="332">
        <f t="shared" si="3"/>
        <v>1981.0099999999998</v>
      </c>
      <c r="U13" s="883" t="s">
        <v>23</v>
      </c>
      <c r="W13" s="334" t="s">
        <v>402</v>
      </c>
      <c r="Y13" s="160"/>
      <c r="Z13" s="161"/>
      <c r="AB13" s="181"/>
      <c r="AC13" s="203"/>
      <c r="AD13" s="163"/>
    </row>
    <row r="14" spans="2:37" s="159" customFormat="1" ht="21" x14ac:dyDescent="0.25">
      <c r="B14" s="746">
        <v>42256</v>
      </c>
      <c r="C14" s="747" t="s">
        <v>140</v>
      </c>
      <c r="D14" s="748" t="s">
        <v>141</v>
      </c>
      <c r="E14" s="749"/>
      <c r="F14" s="750"/>
      <c r="G14" s="751">
        <v>950</v>
      </c>
      <c r="H14" s="752"/>
      <c r="I14" s="753"/>
      <c r="J14" s="751"/>
      <c r="K14" s="752"/>
      <c r="L14" s="752"/>
      <c r="M14" s="754"/>
      <c r="N14" s="754"/>
      <c r="O14" s="755"/>
      <c r="P14" s="755"/>
      <c r="Q14" s="755"/>
      <c r="R14" s="884"/>
      <c r="S14" s="373">
        <f t="shared" si="1"/>
        <v>0</v>
      </c>
      <c r="T14" s="332">
        <f t="shared" si="3"/>
        <v>2931.0099999999998</v>
      </c>
      <c r="U14" s="883" t="s">
        <v>23</v>
      </c>
      <c r="W14" s="334"/>
      <c r="Y14" s="160"/>
      <c r="Z14" s="161"/>
      <c r="AB14" s="181"/>
      <c r="AC14" s="203"/>
      <c r="AD14" s="182"/>
    </row>
    <row r="15" spans="2:37" s="159" customFormat="1" ht="21" x14ac:dyDescent="0.25">
      <c r="B15" s="696">
        <v>42289</v>
      </c>
      <c r="C15" s="215" t="s">
        <v>137</v>
      </c>
      <c r="D15" s="216" t="s">
        <v>403</v>
      </c>
      <c r="E15" s="325" t="s">
        <v>404</v>
      </c>
      <c r="F15" s="326">
        <v>100440</v>
      </c>
      <c r="G15" s="327"/>
      <c r="H15" s="221"/>
      <c r="I15" s="328"/>
      <c r="J15" s="329"/>
      <c r="K15" s="221">
        <v>310.18</v>
      </c>
      <c r="L15" s="221"/>
      <c r="M15" s="221"/>
      <c r="N15" s="221"/>
      <c r="O15" s="330"/>
      <c r="P15" s="330"/>
      <c r="Q15" s="330"/>
      <c r="R15" s="885"/>
      <c r="S15" s="373">
        <f t="shared" si="1"/>
        <v>310.18</v>
      </c>
      <c r="T15" s="332">
        <f t="shared" si="3"/>
        <v>2620.83</v>
      </c>
      <c r="U15" s="883"/>
      <c r="W15" s="334"/>
      <c r="X15" s="886">
        <f>SUM(S15:S17)</f>
        <v>893.27</v>
      </c>
      <c r="Y15" s="160"/>
      <c r="Z15" s="161"/>
      <c r="AB15" s="181"/>
      <c r="AC15" s="203"/>
      <c r="AD15" s="182"/>
    </row>
    <row r="16" spans="2:37" s="159" customFormat="1" ht="21" x14ac:dyDescent="0.25">
      <c r="B16" s="696">
        <v>42289</v>
      </c>
      <c r="C16" s="215" t="s">
        <v>137</v>
      </c>
      <c r="D16" s="216" t="s">
        <v>405</v>
      </c>
      <c r="E16" s="435" t="s">
        <v>404</v>
      </c>
      <c r="F16" s="326">
        <v>100441</v>
      </c>
      <c r="G16" s="327"/>
      <c r="H16" s="221"/>
      <c r="I16" s="328"/>
      <c r="J16" s="329"/>
      <c r="K16" s="221">
        <v>77.400000000000006</v>
      </c>
      <c r="L16" s="221">
        <v>133.61000000000001</v>
      </c>
      <c r="M16" s="221">
        <f>87.5+28</f>
        <v>115.5</v>
      </c>
      <c r="N16" s="221"/>
      <c r="O16" s="330"/>
      <c r="P16" s="330"/>
      <c r="Q16" s="330"/>
      <c r="R16" s="330">
        <v>2.44</v>
      </c>
      <c r="S16" s="373">
        <f t="shared" si="1"/>
        <v>328.95</v>
      </c>
      <c r="T16" s="332">
        <f t="shared" si="3"/>
        <v>2291.88</v>
      </c>
      <c r="U16" s="883"/>
      <c r="W16" s="334"/>
      <c r="Y16" s="160"/>
      <c r="Z16" s="161"/>
      <c r="AB16" s="181"/>
      <c r="AC16" s="203"/>
      <c r="AD16" s="163"/>
    </row>
    <row r="17" spans="2:30" s="155" customFormat="1" ht="21" x14ac:dyDescent="0.25">
      <c r="B17" s="696">
        <v>42289</v>
      </c>
      <c r="C17" s="225" t="s">
        <v>382</v>
      </c>
      <c r="D17" s="226" t="s">
        <v>383</v>
      </c>
      <c r="E17" s="435" t="s">
        <v>404</v>
      </c>
      <c r="F17" s="326">
        <v>100442</v>
      </c>
      <c r="G17" s="329"/>
      <c r="H17" s="221"/>
      <c r="I17" s="328"/>
      <c r="J17" s="329"/>
      <c r="K17" s="221"/>
      <c r="L17" s="221"/>
      <c r="M17" s="221"/>
      <c r="N17" s="221">
        <v>254.14</v>
      </c>
      <c r="O17" s="330"/>
      <c r="P17" s="330"/>
      <c r="Q17" s="330"/>
      <c r="R17" s="330"/>
      <c r="S17" s="373">
        <f t="shared" si="1"/>
        <v>254.14</v>
      </c>
      <c r="T17" s="332">
        <f t="shared" si="3"/>
        <v>2037.7400000000002</v>
      </c>
      <c r="U17" s="883"/>
      <c r="V17" s="159"/>
      <c r="W17" s="887">
        <f>T17/(G$8*2)</f>
        <v>1.0724947368421054</v>
      </c>
      <c r="X17" s="159"/>
      <c r="Y17" s="160"/>
      <c r="Z17" s="161"/>
      <c r="AA17" s="159"/>
      <c r="AB17" s="181"/>
      <c r="AC17" s="203"/>
      <c r="AD17" s="182"/>
    </row>
    <row r="18" spans="2:30" s="155" customFormat="1" ht="21" x14ac:dyDescent="0.25">
      <c r="B18" s="696">
        <v>42289</v>
      </c>
      <c r="C18" s="225" t="s">
        <v>146</v>
      </c>
      <c r="D18" s="226" t="s">
        <v>370</v>
      </c>
      <c r="E18" s="435" t="s">
        <v>404</v>
      </c>
      <c r="F18" s="326">
        <v>100443</v>
      </c>
      <c r="G18" s="329"/>
      <c r="H18" s="221"/>
      <c r="I18" s="328"/>
      <c r="J18" s="329"/>
      <c r="K18" s="221"/>
      <c r="L18" s="221"/>
      <c r="M18" s="570"/>
      <c r="N18" s="221"/>
      <c r="O18" s="330">
        <v>125</v>
      </c>
      <c r="P18" s="330"/>
      <c r="Q18" s="330"/>
      <c r="R18" s="330"/>
      <c r="S18" s="373">
        <f t="shared" si="1"/>
        <v>125</v>
      </c>
      <c r="T18" s="332">
        <f t="shared" si="3"/>
        <v>1912.7400000000002</v>
      </c>
      <c r="U18" s="883"/>
      <c r="V18" s="159"/>
      <c r="W18" s="887">
        <f>T18/(G$8*2)</f>
        <v>1.0067052631578948</v>
      </c>
      <c r="X18" s="444"/>
      <c r="Y18" s="160"/>
      <c r="Z18" s="161"/>
      <c r="AA18" s="159"/>
      <c r="AB18" s="181"/>
      <c r="AC18" s="203"/>
      <c r="AD18" s="182"/>
    </row>
    <row r="19" spans="2:30" s="155" customFormat="1" ht="21" x14ac:dyDescent="0.25">
      <c r="B19" s="696">
        <v>42289</v>
      </c>
      <c r="C19" s="225" t="s">
        <v>373</v>
      </c>
      <c r="D19" s="226" t="s">
        <v>374</v>
      </c>
      <c r="E19" s="435" t="s">
        <v>404</v>
      </c>
      <c r="F19" s="326">
        <v>100444</v>
      </c>
      <c r="G19" s="329"/>
      <c r="H19" s="221"/>
      <c r="I19" s="328"/>
      <c r="J19" s="380">
        <v>75</v>
      </c>
      <c r="K19" s="221"/>
      <c r="L19" s="221"/>
      <c r="M19" s="570"/>
      <c r="N19" s="221"/>
      <c r="O19" s="330"/>
      <c r="P19" s="330"/>
      <c r="Q19" s="330"/>
      <c r="R19" s="330"/>
      <c r="S19" s="373">
        <f t="shared" ref="S19:S24" si="4">SUM(J19:R19)</f>
        <v>75</v>
      </c>
      <c r="T19" s="332">
        <f t="shared" si="3"/>
        <v>1837.7400000000002</v>
      </c>
      <c r="U19" s="883"/>
      <c r="V19" s="159"/>
      <c r="W19" s="766"/>
      <c r="X19" s="444"/>
      <c r="Y19" s="160"/>
      <c r="Z19" s="161"/>
      <c r="AA19" s="159"/>
      <c r="AB19" s="181"/>
      <c r="AC19" s="203"/>
      <c r="AD19" s="182"/>
    </row>
    <row r="20" spans="2:30" s="155" customFormat="1" ht="21" x14ac:dyDescent="0.25">
      <c r="B20" s="696">
        <v>42289</v>
      </c>
      <c r="C20" s="888" t="s">
        <v>406</v>
      </c>
      <c r="D20" s="889" t="s">
        <v>407</v>
      </c>
      <c r="E20" s="890" t="s">
        <v>404</v>
      </c>
      <c r="F20" s="326">
        <v>100445</v>
      </c>
      <c r="G20" s="329"/>
      <c r="H20" s="221"/>
      <c r="I20" s="328"/>
      <c r="J20" s="380">
        <v>50</v>
      </c>
      <c r="K20" s="221"/>
      <c r="L20" s="221"/>
      <c r="M20" s="570"/>
      <c r="N20" s="221"/>
      <c r="O20" s="330"/>
      <c r="P20" s="330"/>
      <c r="Q20" s="330"/>
      <c r="R20" s="330"/>
      <c r="S20" s="373">
        <f t="shared" ref="S20:S21" si="5">SUM(J20:R20)</f>
        <v>50</v>
      </c>
      <c r="T20" s="332">
        <f t="shared" si="3"/>
        <v>1787.7400000000002</v>
      </c>
      <c r="U20" s="883"/>
      <c r="V20" s="159"/>
      <c r="W20" s="766"/>
      <c r="X20" s="444"/>
      <c r="Y20" s="160"/>
      <c r="Z20" s="161"/>
      <c r="AA20" s="159"/>
      <c r="AB20" s="181"/>
      <c r="AC20" s="203"/>
      <c r="AD20" s="182"/>
    </row>
    <row r="21" spans="2:30" s="155" customFormat="1" ht="21" x14ac:dyDescent="0.25">
      <c r="B21" s="696">
        <v>42289</v>
      </c>
      <c r="C21" s="891" t="s">
        <v>375</v>
      </c>
      <c r="D21" s="892" t="s">
        <v>376</v>
      </c>
      <c r="E21" s="893" t="s">
        <v>404</v>
      </c>
      <c r="F21" s="894"/>
      <c r="G21" s="895"/>
      <c r="H21" s="809"/>
      <c r="I21" s="896"/>
      <c r="J21" s="897">
        <v>25</v>
      </c>
      <c r="K21" s="809"/>
      <c r="L21" s="809"/>
      <c r="M21" s="809"/>
      <c r="N21" s="809"/>
      <c r="O21" s="898"/>
      <c r="P21" s="898"/>
      <c r="Q21" s="898"/>
      <c r="R21" s="898"/>
      <c r="S21" s="373">
        <f t="shared" si="5"/>
        <v>25</v>
      </c>
      <c r="T21" s="332">
        <f t="shared" si="3"/>
        <v>1762.7400000000002</v>
      </c>
      <c r="U21" s="883"/>
      <c r="V21" s="159"/>
      <c r="W21" s="766"/>
      <c r="X21" s="447"/>
      <c r="Y21" s="160"/>
      <c r="Z21" s="161"/>
      <c r="AA21" s="159"/>
      <c r="AB21" s="181"/>
      <c r="AC21" s="203"/>
      <c r="AD21" s="163"/>
    </row>
    <row r="22" spans="2:30" s="155" customFormat="1" ht="21" x14ac:dyDescent="0.25">
      <c r="B22" s="696">
        <v>42289</v>
      </c>
      <c r="C22" s="891" t="s">
        <v>377</v>
      </c>
      <c r="D22" s="892" t="s">
        <v>342</v>
      </c>
      <c r="E22" s="893" t="s">
        <v>404</v>
      </c>
      <c r="F22" s="894"/>
      <c r="G22" s="895"/>
      <c r="H22" s="809"/>
      <c r="I22" s="896"/>
      <c r="J22" s="897">
        <v>25</v>
      </c>
      <c r="K22" s="809"/>
      <c r="L22" s="809"/>
      <c r="M22" s="809"/>
      <c r="N22" s="809"/>
      <c r="O22" s="898"/>
      <c r="P22" s="898"/>
      <c r="Q22" s="898"/>
      <c r="R22" s="898"/>
      <c r="S22" s="373">
        <f t="shared" si="4"/>
        <v>25</v>
      </c>
      <c r="T22" s="376">
        <f t="shared" ref="T22:T24" si="6">T21-SUM(J22:R22)+SUM(G22:I22)</f>
        <v>1737.7400000000002</v>
      </c>
      <c r="U22" s="883"/>
      <c r="V22" s="159"/>
      <c r="W22" s="766"/>
      <c r="X22" s="447"/>
      <c r="Y22" s="160"/>
      <c r="Z22" s="161"/>
      <c r="AA22" s="159"/>
      <c r="AB22" s="181"/>
      <c r="AC22" s="203"/>
      <c r="AD22" s="163"/>
    </row>
    <row r="23" spans="2:30" s="155" customFormat="1" ht="21" x14ac:dyDescent="0.25">
      <c r="B23" s="696">
        <v>42289</v>
      </c>
      <c r="C23" s="891" t="s">
        <v>378</v>
      </c>
      <c r="D23" s="892" t="s">
        <v>379</v>
      </c>
      <c r="E23" s="893" t="s">
        <v>404</v>
      </c>
      <c r="F23" s="894"/>
      <c r="G23" s="895"/>
      <c r="H23" s="809"/>
      <c r="I23" s="896"/>
      <c r="J23" s="897">
        <v>25</v>
      </c>
      <c r="K23" s="809"/>
      <c r="L23" s="809"/>
      <c r="M23" s="809"/>
      <c r="N23" s="809"/>
      <c r="O23" s="898"/>
      <c r="P23" s="898"/>
      <c r="Q23" s="898"/>
      <c r="R23" s="898"/>
      <c r="S23" s="373">
        <f t="shared" si="4"/>
        <v>25</v>
      </c>
      <c r="T23" s="376">
        <f t="shared" si="6"/>
        <v>1712.7400000000002</v>
      </c>
      <c r="U23" s="883"/>
      <c r="V23" s="159"/>
      <c r="W23" s="766"/>
      <c r="X23" s="447"/>
      <c r="Y23" s="160"/>
      <c r="Z23" s="161"/>
      <c r="AA23" s="159"/>
      <c r="AB23" s="181"/>
      <c r="AC23" s="203"/>
      <c r="AD23" s="163"/>
    </row>
    <row r="24" spans="2:30" s="155" customFormat="1" ht="21" x14ac:dyDescent="0.25">
      <c r="B24" s="696">
        <v>42289</v>
      </c>
      <c r="C24" s="891" t="s">
        <v>380</v>
      </c>
      <c r="D24" s="892" t="s">
        <v>381</v>
      </c>
      <c r="E24" s="893" t="s">
        <v>404</v>
      </c>
      <c r="F24" s="894"/>
      <c r="G24" s="895"/>
      <c r="H24" s="809"/>
      <c r="I24" s="896"/>
      <c r="J24" s="897">
        <v>50</v>
      </c>
      <c r="K24" s="809"/>
      <c r="L24" s="809"/>
      <c r="M24" s="809"/>
      <c r="N24" s="809"/>
      <c r="O24" s="898"/>
      <c r="P24" s="898"/>
      <c r="Q24" s="898"/>
      <c r="R24" s="898"/>
      <c r="S24" s="373">
        <f t="shared" si="4"/>
        <v>50</v>
      </c>
      <c r="T24" s="376">
        <f t="shared" si="6"/>
        <v>1662.7400000000002</v>
      </c>
      <c r="U24" s="883"/>
      <c r="V24" s="159"/>
      <c r="W24" s="766"/>
      <c r="X24" s="447"/>
      <c r="Y24" s="160"/>
      <c r="Z24" s="161"/>
      <c r="AA24" s="159"/>
      <c r="AB24" s="181"/>
      <c r="AC24" s="203"/>
      <c r="AD24" s="163"/>
    </row>
    <row r="25" spans="2:30" s="155" customFormat="1" ht="21" x14ac:dyDescent="0.25">
      <c r="B25" s="696"/>
      <c r="C25" s="891" t="s">
        <v>114</v>
      </c>
      <c r="D25" s="892" t="s">
        <v>408</v>
      </c>
      <c r="E25" s="893"/>
      <c r="F25" s="894"/>
      <c r="G25" s="895"/>
      <c r="H25" s="809"/>
      <c r="I25" s="896"/>
      <c r="J25" s="897"/>
      <c r="K25" s="895"/>
      <c r="L25" s="809"/>
      <c r="M25" s="809">
        <v>45</v>
      </c>
      <c r="N25" s="809"/>
      <c r="O25" s="898"/>
      <c r="P25" s="898"/>
      <c r="Q25" s="898"/>
      <c r="R25" s="898"/>
      <c r="S25" s="373">
        <f t="shared" ref="S25:S34" si="7">SUM(J25:R25)</f>
        <v>45</v>
      </c>
      <c r="T25" s="376">
        <f t="shared" ref="T25:T28" si="8">T24-SUM(J25:R25)+SUM(G25:I25)</f>
        <v>1617.7400000000002</v>
      </c>
      <c r="U25" s="883"/>
      <c r="V25" s="159"/>
      <c r="W25" s="766"/>
      <c r="X25" s="447"/>
      <c r="Y25" s="160"/>
      <c r="Z25" s="161"/>
      <c r="AA25" s="159"/>
      <c r="AB25" s="181"/>
      <c r="AC25" s="203"/>
      <c r="AD25" s="163"/>
    </row>
    <row r="26" spans="2:30" s="155" customFormat="1" ht="21" x14ac:dyDescent="0.25">
      <c r="B26" s="696">
        <v>42345</v>
      </c>
      <c r="C26" s="891" t="s">
        <v>137</v>
      </c>
      <c r="D26" s="899" t="s">
        <v>384</v>
      </c>
      <c r="E26" s="893" t="s">
        <v>409</v>
      </c>
      <c r="F26" s="900"/>
      <c r="G26" s="895"/>
      <c r="H26" s="809"/>
      <c r="I26" s="896"/>
      <c r="J26" s="897"/>
      <c r="K26" s="897">
        <v>51.6</v>
      </c>
      <c r="L26" s="809"/>
      <c r="M26" s="809"/>
      <c r="N26" s="809"/>
      <c r="O26" s="898"/>
      <c r="P26" s="898"/>
      <c r="Q26" s="898"/>
      <c r="R26" s="898"/>
      <c r="S26" s="373">
        <f t="shared" si="7"/>
        <v>51.6</v>
      </c>
      <c r="T26" s="376">
        <f t="shared" si="8"/>
        <v>1566.1400000000003</v>
      </c>
      <c r="U26" s="883"/>
      <c r="V26" s="159"/>
      <c r="W26" s="766"/>
      <c r="X26" s="447"/>
      <c r="Y26" s="160"/>
      <c r="Z26" s="161"/>
      <c r="AA26" s="159"/>
      <c r="AB26" s="181"/>
      <c r="AC26" s="203"/>
      <c r="AD26" s="163"/>
    </row>
    <row r="27" spans="2:30" s="155" customFormat="1" ht="21" x14ac:dyDescent="0.25">
      <c r="B27" s="696">
        <v>42345</v>
      </c>
      <c r="C27" s="891" t="s">
        <v>367</v>
      </c>
      <c r="D27" s="899" t="s">
        <v>386</v>
      </c>
      <c r="E27" s="893" t="s">
        <v>409</v>
      </c>
      <c r="F27" s="900"/>
      <c r="G27" s="895"/>
      <c r="H27" s="809"/>
      <c r="I27" s="896"/>
      <c r="J27" s="897"/>
      <c r="K27" s="897">
        <v>205.8</v>
      </c>
      <c r="L27" s="809"/>
      <c r="M27" s="809"/>
      <c r="N27" s="809"/>
      <c r="O27" s="898"/>
      <c r="P27" s="898"/>
      <c r="Q27" s="898"/>
      <c r="R27" s="898"/>
      <c r="S27" s="373">
        <f t="shared" si="7"/>
        <v>205.8</v>
      </c>
      <c r="T27" s="376">
        <f t="shared" si="8"/>
        <v>1360.3400000000004</v>
      </c>
      <c r="U27" s="883"/>
      <c r="V27" s="159"/>
      <c r="W27" s="766"/>
      <c r="X27" s="444"/>
      <c r="Y27" s="160"/>
      <c r="Z27" s="161"/>
      <c r="AA27" s="159"/>
      <c r="AB27" s="181"/>
      <c r="AC27" s="203"/>
      <c r="AD27" s="244"/>
    </row>
    <row r="28" spans="2:30" s="155" customFormat="1" ht="21" x14ac:dyDescent="0.25">
      <c r="B28" s="696">
        <v>42430</v>
      </c>
      <c r="C28" s="901" t="s">
        <v>152</v>
      </c>
      <c r="D28" s="899" t="s">
        <v>387</v>
      </c>
      <c r="E28" s="902" t="s">
        <v>410</v>
      </c>
      <c r="F28" s="894"/>
      <c r="G28" s="895"/>
      <c r="H28" s="809"/>
      <c r="I28" s="896"/>
      <c r="J28" s="897"/>
      <c r="K28" s="809"/>
      <c r="L28" s="809"/>
      <c r="M28" s="809">
        <v>35</v>
      </c>
      <c r="N28" s="809"/>
      <c r="O28" s="898"/>
      <c r="P28" s="898"/>
      <c r="Q28" s="898"/>
      <c r="R28" s="898"/>
      <c r="S28" s="373">
        <f t="shared" si="7"/>
        <v>35</v>
      </c>
      <c r="T28" s="376">
        <f t="shared" si="8"/>
        <v>1325.3400000000004</v>
      </c>
      <c r="U28" s="883"/>
      <c r="V28" s="159"/>
      <c r="W28" s="766"/>
      <c r="X28" s="444"/>
      <c r="Y28" s="160"/>
      <c r="Z28" s="161"/>
      <c r="AA28" s="159"/>
      <c r="AB28" s="181"/>
      <c r="AC28" s="203"/>
      <c r="AD28" s="244"/>
    </row>
    <row r="29" spans="2:30" s="155" customFormat="1" ht="21" x14ac:dyDescent="0.25">
      <c r="B29" s="696">
        <v>42430</v>
      </c>
      <c r="C29" s="891" t="s">
        <v>137</v>
      </c>
      <c r="D29" s="899" t="s">
        <v>388</v>
      </c>
      <c r="E29" s="902" t="s">
        <v>410</v>
      </c>
      <c r="F29" s="900"/>
      <c r="G29" s="895"/>
      <c r="H29" s="809"/>
      <c r="I29" s="896"/>
      <c r="J29" s="897"/>
      <c r="K29" s="897">
        <v>206.8</v>
      </c>
      <c r="L29" s="809"/>
      <c r="M29" s="809"/>
      <c r="N29" s="809"/>
      <c r="O29" s="898"/>
      <c r="P29" s="898"/>
      <c r="Q29" s="898"/>
      <c r="R29" s="898"/>
      <c r="S29" s="373">
        <f t="shared" si="7"/>
        <v>206.8</v>
      </c>
      <c r="T29" s="376">
        <f t="shared" ref="T29:T34" si="9">T28-SUM(J29:R29)+SUM(G29:I29)</f>
        <v>1118.5400000000004</v>
      </c>
      <c r="U29" s="883"/>
      <c r="V29" s="159"/>
      <c r="W29" s="334"/>
      <c r="X29" s="159"/>
      <c r="Y29" s="160"/>
      <c r="Z29" s="161"/>
      <c r="AA29" s="159"/>
      <c r="AB29" s="181"/>
      <c r="AC29" s="203"/>
      <c r="AD29" s="163"/>
    </row>
    <row r="30" spans="2:30" s="155" customFormat="1" ht="21" x14ac:dyDescent="0.25">
      <c r="B30" s="696">
        <v>42430</v>
      </c>
      <c r="C30" s="891" t="s">
        <v>367</v>
      </c>
      <c r="D30" s="899" t="s">
        <v>389</v>
      </c>
      <c r="E30" s="902" t="s">
        <v>410</v>
      </c>
      <c r="F30" s="900"/>
      <c r="G30" s="895"/>
      <c r="H30" s="809"/>
      <c r="I30" s="896"/>
      <c r="J30" s="897"/>
      <c r="K30" s="897">
        <v>51.6</v>
      </c>
      <c r="L30" s="809"/>
      <c r="M30" s="809"/>
      <c r="N30" s="809"/>
      <c r="O30" s="898"/>
      <c r="P30" s="898"/>
      <c r="Q30" s="898"/>
      <c r="R30" s="898"/>
      <c r="S30" s="373">
        <f t="shared" si="7"/>
        <v>51.6</v>
      </c>
      <c r="T30" s="376">
        <f t="shared" si="9"/>
        <v>1066.9400000000005</v>
      </c>
      <c r="U30" s="883"/>
      <c r="V30" s="159"/>
      <c r="W30" s="334"/>
      <c r="X30" s="159"/>
      <c r="Y30" s="160"/>
      <c r="Z30" s="161"/>
      <c r="AA30" s="159"/>
      <c r="AB30" s="181"/>
      <c r="AC30" s="203"/>
      <c r="AD30" s="163"/>
    </row>
    <row r="31" spans="2:30" s="155" customFormat="1" ht="21" x14ac:dyDescent="0.25">
      <c r="B31" s="696">
        <v>42430</v>
      </c>
      <c r="C31" s="901" t="s">
        <v>137</v>
      </c>
      <c r="D31" s="899" t="s">
        <v>411</v>
      </c>
      <c r="E31" s="902" t="s">
        <v>410</v>
      </c>
      <c r="F31" s="900"/>
      <c r="G31" s="895"/>
      <c r="H31" s="809"/>
      <c r="I31" s="896"/>
      <c r="J31" s="897"/>
      <c r="K31" s="809"/>
      <c r="L31" s="809">
        <f>60+78</f>
        <v>138</v>
      </c>
      <c r="M31" s="809"/>
      <c r="N31" s="809"/>
      <c r="O31" s="898"/>
      <c r="P31" s="898"/>
      <c r="Q31" s="898"/>
      <c r="R31" s="898"/>
      <c r="S31" s="373">
        <f t="shared" si="7"/>
        <v>138</v>
      </c>
      <c r="T31" s="376">
        <f t="shared" si="9"/>
        <v>928.94000000000051</v>
      </c>
      <c r="U31" s="883"/>
      <c r="V31" s="159"/>
      <c r="W31" s="887">
        <f>T31/(G$8*2)</f>
        <v>0.48891578947368447</v>
      </c>
      <c r="X31" s="159"/>
      <c r="Y31" s="160"/>
      <c r="Z31" s="161"/>
      <c r="AA31" s="159"/>
      <c r="AB31" s="181"/>
      <c r="AC31" s="203"/>
      <c r="AD31" s="163"/>
    </row>
    <row r="32" spans="2:30" s="155" customFormat="1" ht="21" x14ac:dyDescent="0.25">
      <c r="B32" s="696">
        <v>42064</v>
      </c>
      <c r="C32" s="903" t="s">
        <v>163</v>
      </c>
      <c r="D32" s="904" t="s">
        <v>361</v>
      </c>
      <c r="E32" s="902"/>
      <c r="F32" s="900"/>
      <c r="G32" s="895"/>
      <c r="H32" s="809"/>
      <c r="I32" s="896">
        <v>14.84</v>
      </c>
      <c r="J32" s="897"/>
      <c r="K32" s="809"/>
      <c r="L32" s="809"/>
      <c r="M32" s="809"/>
      <c r="N32" s="809"/>
      <c r="O32" s="898"/>
      <c r="P32" s="898"/>
      <c r="Q32" s="898"/>
      <c r="R32" s="898"/>
      <c r="S32" s="373">
        <f t="shared" si="7"/>
        <v>0</v>
      </c>
      <c r="T32" s="376">
        <f t="shared" si="9"/>
        <v>943.78000000000054</v>
      </c>
      <c r="U32" s="883"/>
      <c r="V32" s="159"/>
      <c r="W32" s="887">
        <f>T32/(G$8*2)</f>
        <v>0.49672631578947396</v>
      </c>
      <c r="X32" s="159"/>
      <c r="Y32" s="160"/>
      <c r="Z32" s="161"/>
      <c r="AA32" s="159"/>
      <c r="AB32" s="181"/>
      <c r="AC32" s="203"/>
      <c r="AD32" s="163"/>
    </row>
    <row r="33" spans="2:37" ht="21" x14ac:dyDescent="0.25">
      <c r="B33" s="696"/>
      <c r="C33" s="215"/>
      <c r="D33" s="227"/>
      <c r="E33" s="374"/>
      <c r="F33" s="354"/>
      <c r="G33" s="329"/>
      <c r="H33" s="221"/>
      <c r="I33" s="328"/>
      <c r="J33" s="380"/>
      <c r="K33" s="221"/>
      <c r="L33" s="221"/>
      <c r="M33" s="221"/>
      <c r="N33" s="221"/>
      <c r="O33" s="330"/>
      <c r="P33" s="330"/>
      <c r="Q33" s="330"/>
      <c r="R33" s="330"/>
      <c r="S33" s="373">
        <f t="shared" si="7"/>
        <v>0</v>
      </c>
      <c r="T33" s="376">
        <f t="shared" si="9"/>
        <v>943.78000000000054</v>
      </c>
      <c r="U33" s="883"/>
      <c r="W33" s="334"/>
      <c r="AB33" s="181"/>
      <c r="AC33" s="203"/>
    </row>
    <row r="34" spans="2:37" ht="21" x14ac:dyDescent="0.25">
      <c r="B34" s="696"/>
      <c r="C34" s="215"/>
      <c r="D34" s="227"/>
      <c r="E34" s="374"/>
      <c r="F34" s="354"/>
      <c r="G34" s="329"/>
      <c r="H34" s="221"/>
      <c r="I34" s="328"/>
      <c r="J34" s="380"/>
      <c r="K34" s="221"/>
      <c r="L34" s="221"/>
      <c r="M34" s="221"/>
      <c r="N34" s="221"/>
      <c r="O34" s="330"/>
      <c r="P34" s="330"/>
      <c r="Q34" s="330"/>
      <c r="R34" s="330"/>
      <c r="S34" s="373">
        <f t="shared" si="7"/>
        <v>0</v>
      </c>
      <c r="T34" s="376">
        <f t="shared" si="9"/>
        <v>943.78000000000054</v>
      </c>
      <c r="U34" s="883"/>
      <c r="W34" s="334"/>
      <c r="AB34" s="245"/>
      <c r="AC34" s="246"/>
      <c r="AD34" s="247"/>
    </row>
    <row r="35" spans="2:37" ht="22" thickBot="1" x14ac:dyDescent="0.3">
      <c r="B35" s="711"/>
      <c r="C35" s="215"/>
      <c r="D35" s="227"/>
      <c r="E35" s="383"/>
      <c r="F35" s="384"/>
      <c r="G35" s="385"/>
      <c r="H35" s="386"/>
      <c r="I35" s="387"/>
      <c r="J35" s="810"/>
      <c r="K35" s="386"/>
      <c r="L35" s="386"/>
      <c r="M35" s="386"/>
      <c r="N35" s="386"/>
      <c r="O35" s="389"/>
      <c r="P35" s="389"/>
      <c r="Q35" s="389"/>
      <c r="R35" s="389"/>
      <c r="S35" s="390"/>
      <c r="T35" s="391"/>
      <c r="U35" s="905"/>
      <c r="AB35" s="245"/>
      <c r="AC35" s="246"/>
      <c r="AD35" s="247"/>
    </row>
    <row r="36" spans="2:37" ht="23" thickTop="1" thickBot="1" x14ac:dyDescent="0.3">
      <c r="B36" s="521"/>
      <c r="C36" s="522"/>
      <c r="D36" s="523" t="s">
        <v>122</v>
      </c>
      <c r="E36" s="524"/>
      <c r="F36" s="525"/>
      <c r="G36" s="575">
        <f t="shared" ref="G36:R36" si="10">SUM(G8:G35)</f>
        <v>1992.83</v>
      </c>
      <c r="H36" s="575">
        <f t="shared" si="10"/>
        <v>0</v>
      </c>
      <c r="I36" s="576">
        <f t="shared" si="10"/>
        <v>14.84</v>
      </c>
      <c r="J36" s="577">
        <f t="shared" si="10"/>
        <v>250</v>
      </c>
      <c r="K36" s="578">
        <f t="shared" si="10"/>
        <v>1032.58</v>
      </c>
      <c r="L36" s="578">
        <f t="shared" si="10"/>
        <v>271.61</v>
      </c>
      <c r="M36" s="578">
        <f t="shared" si="10"/>
        <v>195.5</v>
      </c>
      <c r="N36" s="578">
        <f t="shared" si="10"/>
        <v>401.14</v>
      </c>
      <c r="O36" s="578">
        <f t="shared" si="10"/>
        <v>125</v>
      </c>
      <c r="P36" s="578">
        <f t="shared" si="10"/>
        <v>0</v>
      </c>
      <c r="Q36" s="578">
        <f t="shared" si="10"/>
        <v>0</v>
      </c>
      <c r="R36" s="579">
        <f t="shared" si="10"/>
        <v>8.44</v>
      </c>
      <c r="S36" s="580">
        <f>SUM(S11:S35)</f>
        <v>2254.2699999999995</v>
      </c>
      <c r="T36" s="771">
        <f>T6+SUM(G36:I36)-S36</f>
        <v>973.78000000000065</v>
      </c>
      <c r="U36" s="906"/>
      <c r="AC36" s="203"/>
    </row>
    <row r="37" spans="2:37" ht="20" thickTop="1" x14ac:dyDescent="0.25"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AC37" s="203"/>
    </row>
    <row r="38" spans="2:37" s="459" customFormat="1" ht="18" x14ac:dyDescent="0.25">
      <c r="D38" s="458" t="s">
        <v>248</v>
      </c>
      <c r="E38" s="458" t="s">
        <v>196</v>
      </c>
      <c r="G38" s="460"/>
      <c r="H38" s="460"/>
      <c r="I38" s="460"/>
      <c r="J38" s="715">
        <f>6.15*133</f>
        <v>817.95</v>
      </c>
      <c r="K38" s="460"/>
      <c r="L38" s="460"/>
      <c r="M38" s="460"/>
      <c r="N38" s="460"/>
      <c r="O38" s="460"/>
      <c r="P38" s="460"/>
      <c r="Q38" s="460"/>
      <c r="R38" s="460"/>
      <c r="S38" s="460"/>
      <c r="T38" s="533">
        <f>S36-K36</f>
        <v>1221.6899999999996</v>
      </c>
      <c r="U38" s="462"/>
      <c r="V38" s="163"/>
      <c r="W38" s="203"/>
      <c r="X38" s="163"/>
      <c r="Y38" s="160"/>
      <c r="Z38" s="161"/>
      <c r="AA38" s="163"/>
      <c r="AB38" s="463"/>
      <c r="AC38" s="203"/>
      <c r="AD38" s="163"/>
      <c r="AE38" s="163"/>
      <c r="AF38" s="163"/>
      <c r="AG38" s="163"/>
      <c r="AH38" s="163"/>
      <c r="AI38" s="163"/>
      <c r="AJ38" s="163"/>
      <c r="AK38" s="163"/>
    </row>
    <row r="39" spans="2:37" x14ac:dyDescent="0.25">
      <c r="E39" s="458" t="s">
        <v>284</v>
      </c>
      <c r="G39" s="268"/>
      <c r="H39" s="268"/>
      <c r="I39" s="268"/>
      <c r="J39" s="773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W39" s="582"/>
    </row>
    <row r="40" spans="2:37" x14ac:dyDescent="0.25">
      <c r="D40" s="267" t="s">
        <v>317</v>
      </c>
      <c r="E40" s="458" t="s">
        <v>286</v>
      </c>
      <c r="G40" s="268"/>
      <c r="H40" s="268"/>
      <c r="I40" s="268"/>
      <c r="J40" s="715">
        <f>6.98*131</f>
        <v>914.38000000000011</v>
      </c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W40" s="582"/>
    </row>
    <row r="41" spans="2:37" s="459" customFormat="1" ht="18" x14ac:dyDescent="0.25">
      <c r="C41" s="583" t="s">
        <v>212</v>
      </c>
      <c r="D41" s="458"/>
      <c r="E41" s="458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534"/>
      <c r="T41" s="584">
        <f>T6</f>
        <v>1220.3800000000001</v>
      </c>
      <c r="U41" s="462"/>
      <c r="V41" s="163"/>
      <c r="W41" s="584"/>
      <c r="X41" s="163"/>
      <c r="Y41" s="160"/>
      <c r="Z41" s="161"/>
      <c r="AA41" s="163"/>
      <c r="AB41" s="463"/>
      <c r="AC41" s="163"/>
      <c r="AD41" s="163"/>
      <c r="AE41" s="163"/>
      <c r="AF41" s="163"/>
      <c r="AG41" s="163"/>
      <c r="AH41" s="163"/>
      <c r="AI41" s="163"/>
      <c r="AJ41" s="163"/>
      <c r="AK41" s="163"/>
    </row>
    <row r="42" spans="2:37" x14ac:dyDescent="0.25"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535"/>
      <c r="T42" s="535"/>
      <c r="W42" s="535"/>
    </row>
    <row r="43" spans="2:37" s="459" customFormat="1" ht="18" x14ac:dyDescent="0.25">
      <c r="C43" s="458" t="s">
        <v>200</v>
      </c>
      <c r="D43" s="458" t="s">
        <v>47</v>
      </c>
      <c r="E43" s="458"/>
      <c r="G43" s="460">
        <f>G36</f>
        <v>1992.83</v>
      </c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534">
        <f>SUM(G43:R43)</f>
        <v>1992.83</v>
      </c>
      <c r="T43" s="534"/>
      <c r="U43" s="462"/>
      <c r="V43" s="163"/>
      <c r="W43" s="534"/>
      <c r="X43" s="163"/>
      <c r="Y43" s="160"/>
      <c r="Z43" s="161"/>
      <c r="AA43" s="163"/>
      <c r="AB43" s="463"/>
      <c r="AC43" s="163"/>
      <c r="AD43" s="163"/>
      <c r="AE43" s="163"/>
      <c r="AF43" s="163"/>
      <c r="AG43" s="163"/>
      <c r="AH43" s="163"/>
      <c r="AI43" s="163"/>
      <c r="AJ43" s="163"/>
      <c r="AK43" s="163"/>
    </row>
    <row r="44" spans="2:37" s="459" customFormat="1" ht="18" x14ac:dyDescent="0.25">
      <c r="C44" s="458"/>
      <c r="D44" s="458" t="s">
        <v>213</v>
      </c>
      <c r="E44" s="458"/>
      <c r="G44" s="460"/>
      <c r="H44" s="460"/>
      <c r="I44" s="460">
        <f>I36</f>
        <v>14.84</v>
      </c>
      <c r="J44" s="460"/>
      <c r="K44" s="460"/>
      <c r="L44" s="460"/>
      <c r="M44" s="460"/>
      <c r="N44" s="460"/>
      <c r="O44" s="460"/>
      <c r="P44" s="460"/>
      <c r="Q44" s="460"/>
      <c r="R44" s="460"/>
      <c r="S44" s="534">
        <f t="shared" ref="S44:S47" si="11">SUM(G44:R44)</f>
        <v>14.84</v>
      </c>
      <c r="T44" s="534"/>
      <c r="U44" s="462"/>
      <c r="V44" s="163"/>
      <c r="W44" s="534"/>
      <c r="X44" s="163"/>
      <c r="Y44" s="160"/>
      <c r="Z44" s="161"/>
      <c r="AA44" s="163"/>
      <c r="AB44" s="463"/>
      <c r="AC44" s="163"/>
      <c r="AD44" s="163"/>
      <c r="AE44" s="163"/>
      <c r="AF44" s="163"/>
      <c r="AG44" s="163"/>
      <c r="AH44" s="163"/>
      <c r="AI44" s="163"/>
      <c r="AJ44" s="163"/>
      <c r="AK44" s="163"/>
    </row>
    <row r="45" spans="2:37" s="459" customFormat="1" ht="18" x14ac:dyDescent="0.25">
      <c r="C45" s="458"/>
      <c r="D45" s="583" t="s">
        <v>64</v>
      </c>
      <c r="E45" s="458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  <c r="R45" s="460"/>
      <c r="S45" s="534"/>
      <c r="T45" s="584">
        <f>SUM(S43:S44)</f>
        <v>2007.6699999999998</v>
      </c>
      <c r="U45" s="462"/>
      <c r="V45" s="163"/>
      <c r="W45" s="584"/>
      <c r="X45" s="163"/>
      <c r="Y45" s="160"/>
      <c r="Z45" s="161"/>
      <c r="AA45" s="163"/>
      <c r="AB45" s="463"/>
      <c r="AC45" s="163"/>
      <c r="AD45" s="163"/>
      <c r="AE45" s="163"/>
      <c r="AF45" s="163"/>
      <c r="AG45" s="163"/>
      <c r="AH45" s="163"/>
      <c r="AI45" s="163"/>
      <c r="AJ45" s="163"/>
      <c r="AK45" s="163"/>
    </row>
    <row r="46" spans="2:37" s="459" customFormat="1" ht="18" x14ac:dyDescent="0.25">
      <c r="C46" s="458" t="s">
        <v>214</v>
      </c>
      <c r="D46" s="458" t="s">
        <v>215</v>
      </c>
      <c r="E46" s="458"/>
      <c r="G46" s="460"/>
      <c r="H46" s="460"/>
      <c r="I46" s="460"/>
      <c r="J46" s="460"/>
      <c r="K46" s="460">
        <f>K36</f>
        <v>1032.58</v>
      </c>
      <c r="L46" s="460"/>
      <c r="M46" s="460"/>
      <c r="N46" s="460"/>
      <c r="O46" s="460"/>
      <c r="P46" s="460"/>
      <c r="Q46" s="460"/>
      <c r="R46" s="460"/>
      <c r="S46" s="534">
        <f t="shared" si="11"/>
        <v>1032.58</v>
      </c>
      <c r="T46" s="534"/>
      <c r="U46" s="462"/>
      <c r="V46" s="163"/>
      <c r="W46" s="534"/>
      <c r="X46" s="163"/>
      <c r="Y46" s="160"/>
      <c r="Z46" s="161"/>
      <c r="AA46" s="163"/>
      <c r="AB46" s="463"/>
      <c r="AC46" s="163"/>
      <c r="AD46" s="163"/>
      <c r="AE46" s="163"/>
      <c r="AF46" s="163"/>
      <c r="AG46" s="163"/>
      <c r="AH46" s="163"/>
      <c r="AI46" s="163"/>
      <c r="AJ46" s="163"/>
      <c r="AK46" s="163"/>
    </row>
    <row r="47" spans="2:37" s="459" customFormat="1" ht="18" x14ac:dyDescent="0.25">
      <c r="D47" s="458" t="s">
        <v>216</v>
      </c>
      <c r="E47" s="458"/>
      <c r="G47" s="460"/>
      <c r="H47" s="460"/>
      <c r="I47" s="460"/>
      <c r="J47" s="460">
        <f>J36</f>
        <v>250</v>
      </c>
      <c r="K47" s="460"/>
      <c r="L47" s="460">
        <f>L36</f>
        <v>271.61</v>
      </c>
      <c r="M47" s="460">
        <f>M36</f>
        <v>195.5</v>
      </c>
      <c r="N47" s="460">
        <f t="shared" ref="N47:R47" si="12">N36</f>
        <v>401.14</v>
      </c>
      <c r="O47" s="460">
        <f t="shared" si="12"/>
        <v>125</v>
      </c>
      <c r="P47" s="460">
        <f t="shared" si="12"/>
        <v>0</v>
      </c>
      <c r="Q47" s="460">
        <f t="shared" si="12"/>
        <v>0</v>
      </c>
      <c r="R47" s="460">
        <f t="shared" si="12"/>
        <v>8.44</v>
      </c>
      <c r="S47" s="534">
        <f t="shared" si="11"/>
        <v>1251.69</v>
      </c>
      <c r="T47" s="534"/>
      <c r="U47" s="462"/>
      <c r="V47" s="163"/>
      <c r="W47" s="534"/>
      <c r="X47" s="163"/>
      <c r="Y47" s="160"/>
      <c r="Z47" s="161"/>
      <c r="AA47" s="163"/>
      <c r="AB47" s="463"/>
      <c r="AC47" s="163"/>
      <c r="AD47" s="163"/>
      <c r="AE47" s="163"/>
      <c r="AF47" s="163"/>
      <c r="AG47" s="163"/>
      <c r="AH47" s="163"/>
      <c r="AI47" s="163"/>
      <c r="AJ47" s="163"/>
      <c r="AK47" s="163"/>
    </row>
    <row r="48" spans="2:37" x14ac:dyDescent="0.25">
      <c r="D48" s="583" t="s">
        <v>249</v>
      </c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584">
        <f>SUM(S46:S47)</f>
        <v>2284.27</v>
      </c>
      <c r="W48" s="584"/>
    </row>
    <row r="49" spans="3:24" s="155" customFormat="1" ht="15" x14ac:dyDescent="0.25">
      <c r="D49" s="267"/>
      <c r="E49" s="267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9"/>
      <c r="V49" s="159"/>
      <c r="W49" s="268"/>
      <c r="X49" s="159"/>
    </row>
    <row r="50" spans="3:24" s="155" customFormat="1" ht="17" x14ac:dyDescent="0.25">
      <c r="C50" s="583" t="s">
        <v>250</v>
      </c>
      <c r="D50" s="267"/>
      <c r="E50" s="267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585">
        <f>T41+T45-T48</f>
        <v>943.7800000000002</v>
      </c>
      <c r="U50" s="722">
        <f>T36/1900</f>
        <v>0.51251578947368459</v>
      </c>
      <c r="V50" s="159"/>
      <c r="W50" s="268"/>
      <c r="X50" s="517"/>
    </row>
    <row r="51" spans="3:24" s="155" customFormat="1" ht="17" x14ac:dyDescent="0.25">
      <c r="D51" s="267"/>
      <c r="E51" s="267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9"/>
      <c r="V51" s="159"/>
      <c r="W51" s="203"/>
      <c r="X51" s="159"/>
    </row>
    <row r="52" spans="3:24" s="155" customFormat="1" ht="17" x14ac:dyDescent="0.25">
      <c r="D52" s="267"/>
      <c r="E52" s="267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460" t="s">
        <v>412</v>
      </c>
      <c r="T52" s="585">
        <f>T48-T45</f>
        <v>276.60000000000014</v>
      </c>
      <c r="U52" s="269"/>
      <c r="V52" s="159"/>
      <c r="W52" s="203"/>
      <c r="X52" s="159"/>
    </row>
    <row r="53" spans="3:24" s="155" customFormat="1" ht="17" x14ac:dyDescent="0.25">
      <c r="D53" s="267"/>
      <c r="E53" s="267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9"/>
      <c r="V53" s="159"/>
      <c r="W53" s="203"/>
      <c r="X53" s="159"/>
    </row>
    <row r="54" spans="3:24" s="155" customFormat="1" ht="17" x14ac:dyDescent="0.25">
      <c r="D54" s="267"/>
      <c r="E54" s="267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9"/>
      <c r="V54" s="159"/>
      <c r="W54" s="203"/>
      <c r="X54" s="159"/>
    </row>
    <row r="55" spans="3:24" s="155" customFormat="1" ht="17" x14ac:dyDescent="0.25">
      <c r="D55" s="267"/>
      <c r="E55" s="267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9"/>
      <c r="V55" s="159"/>
      <c r="W55" s="203"/>
      <c r="X55" s="159"/>
    </row>
    <row r="56" spans="3:24" s="155" customFormat="1" ht="17" x14ac:dyDescent="0.25">
      <c r="D56" s="267"/>
      <c r="E56" s="267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9"/>
      <c r="V56" s="159"/>
      <c r="W56" s="203"/>
      <c r="X56" s="159"/>
    </row>
    <row r="57" spans="3:24" s="155" customFormat="1" ht="17" x14ac:dyDescent="0.25">
      <c r="D57" s="267"/>
      <c r="E57" s="267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9"/>
      <c r="V57" s="159"/>
      <c r="W57" s="203"/>
      <c r="X57" s="159"/>
    </row>
    <row r="58" spans="3:24" s="155" customFormat="1" ht="17" x14ac:dyDescent="0.25">
      <c r="D58" s="267"/>
      <c r="E58" s="267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9"/>
      <c r="V58" s="159"/>
      <c r="W58" s="203"/>
      <c r="X58" s="159"/>
    </row>
    <row r="59" spans="3:24" s="155" customFormat="1" ht="17" x14ac:dyDescent="0.25">
      <c r="D59" s="267"/>
      <c r="E59" s="267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9"/>
      <c r="V59" s="159"/>
      <c r="W59" s="203"/>
      <c r="X59" s="159"/>
    </row>
    <row r="60" spans="3:24" s="155" customFormat="1" ht="17" x14ac:dyDescent="0.25">
      <c r="D60" s="267"/>
      <c r="E60" s="267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9"/>
      <c r="V60" s="159"/>
      <c r="W60" s="203"/>
      <c r="X60" s="159"/>
    </row>
    <row r="61" spans="3:24" s="155" customFormat="1" ht="17" x14ac:dyDescent="0.25">
      <c r="D61" s="267"/>
      <c r="E61" s="267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9"/>
      <c r="V61" s="159"/>
      <c r="W61" s="203"/>
      <c r="X61" s="159"/>
    </row>
    <row r="62" spans="3:24" s="155" customFormat="1" ht="17" x14ac:dyDescent="0.25">
      <c r="D62" s="267"/>
      <c r="E62" s="267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9"/>
      <c r="V62" s="159"/>
      <c r="W62" s="203"/>
      <c r="X62" s="159"/>
    </row>
    <row r="63" spans="3:24" s="155" customFormat="1" ht="17" x14ac:dyDescent="0.25">
      <c r="D63" s="267"/>
      <c r="E63" s="267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9"/>
      <c r="V63" s="159"/>
      <c r="W63" s="203"/>
      <c r="X63" s="159"/>
    </row>
    <row r="64" spans="3:24" s="155" customFormat="1" ht="17" x14ac:dyDescent="0.25">
      <c r="D64" s="267"/>
      <c r="E64" s="267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9"/>
      <c r="V64" s="159"/>
      <c r="W64" s="203"/>
      <c r="X64" s="159"/>
    </row>
    <row r="65" spans="7:20" s="155" customFormat="1" ht="15" x14ac:dyDescent="0.25"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</row>
    <row r="66" spans="7:20" s="155" customFormat="1" ht="15" x14ac:dyDescent="0.25"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</row>
    <row r="67" spans="7:20" s="155" customFormat="1" ht="15" x14ac:dyDescent="0.25"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7:20" s="155" customFormat="1" ht="15" x14ac:dyDescent="0.25"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</row>
    <row r="69" spans="7:20" s="155" customFormat="1" ht="15" x14ac:dyDescent="0.25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</row>
    <row r="70" spans="7:20" s="155" customFormat="1" ht="15" x14ac:dyDescent="0.25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</row>
    <row r="71" spans="7:20" s="155" customFormat="1" ht="15" x14ac:dyDescent="0.25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</row>
    <row r="72" spans="7:20" s="155" customFormat="1" ht="15" x14ac:dyDescent="0.25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</row>
    <row r="73" spans="7:20" s="155" customFormat="1" ht="15" x14ac:dyDescent="0.25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</row>
    <row r="74" spans="7:20" s="155" customFormat="1" ht="15" x14ac:dyDescent="0.25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</row>
    <row r="75" spans="7:20" s="155" customFormat="1" ht="15" x14ac:dyDescent="0.25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</row>
    <row r="76" spans="7:20" s="155" customFormat="1" ht="15" x14ac:dyDescent="0.25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</row>
    <row r="77" spans="7:20" s="155" customFormat="1" ht="15" x14ac:dyDescent="0.25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  <row r="78" spans="7:20" s="155" customFormat="1" ht="15" x14ac:dyDescent="0.25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</row>
    <row r="79" spans="7:20" s="155" customFormat="1" ht="15" x14ac:dyDescent="0.25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</row>
    <row r="80" spans="7:20" s="155" customFormat="1" ht="15" x14ac:dyDescent="0.25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</row>
    <row r="81" spans="7:20" s="155" customFormat="1" ht="15" x14ac:dyDescent="0.25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</row>
    <row r="82" spans="7:20" s="155" customFormat="1" ht="15" x14ac:dyDescent="0.25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</row>
    <row r="83" spans="7:20" s="155" customFormat="1" ht="15" x14ac:dyDescent="0.25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</row>
    <row r="84" spans="7:20" s="155" customFormat="1" ht="15" x14ac:dyDescent="0.25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</row>
    <row r="85" spans="7:20" s="155" customFormat="1" ht="15" x14ac:dyDescent="0.25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</row>
    <row r="86" spans="7:20" s="155" customFormat="1" ht="15" x14ac:dyDescent="0.25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</row>
    <row r="87" spans="7:20" s="155" customFormat="1" ht="15" x14ac:dyDescent="0.25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</row>
    <row r="88" spans="7:20" s="155" customFormat="1" ht="15" x14ac:dyDescent="0.25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</row>
    <row r="89" spans="7:20" s="155" customFormat="1" ht="15" x14ac:dyDescent="0.25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</row>
    <row r="90" spans="7:20" s="155" customFormat="1" ht="15" x14ac:dyDescent="0.25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</row>
    <row r="91" spans="7:20" s="155" customFormat="1" ht="15" x14ac:dyDescent="0.25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</row>
    <row r="92" spans="7:20" s="155" customFormat="1" ht="15" x14ac:dyDescent="0.25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</row>
    <row r="93" spans="7:20" s="155" customFormat="1" ht="15" x14ac:dyDescent="0.25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</row>
    <row r="94" spans="7:20" s="155" customFormat="1" ht="15" x14ac:dyDescent="0.25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</row>
    <row r="95" spans="7:20" s="155" customFormat="1" ht="15" x14ac:dyDescent="0.25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</row>
    <row r="96" spans="7:20" s="155" customFormat="1" ht="15" x14ac:dyDescent="0.25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</row>
    <row r="97" spans="7:20" s="155" customFormat="1" ht="15" x14ac:dyDescent="0.25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</row>
    <row r="98" spans="7:20" s="155" customFormat="1" ht="15" x14ac:dyDescent="0.25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</row>
    <row r="99" spans="7:20" s="155" customFormat="1" ht="15" x14ac:dyDescent="0.25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</row>
    <row r="100" spans="7:20" s="155" customFormat="1" ht="15" x14ac:dyDescent="0.25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</row>
    <row r="101" spans="7:20" s="155" customFormat="1" ht="15" x14ac:dyDescent="0.25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</row>
    <row r="102" spans="7:20" s="155" customFormat="1" ht="15" x14ac:dyDescent="0.25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</row>
    <row r="103" spans="7:20" s="155" customFormat="1" ht="15" x14ac:dyDescent="0.25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</row>
    <row r="104" spans="7:20" s="155" customFormat="1" ht="15" x14ac:dyDescent="0.25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</row>
    <row r="105" spans="7:20" s="155" customFormat="1" ht="15" x14ac:dyDescent="0.25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</row>
    <row r="106" spans="7:20" s="155" customFormat="1" ht="15" x14ac:dyDescent="0.25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</row>
    <row r="107" spans="7:20" s="155" customFormat="1" ht="15" x14ac:dyDescent="0.25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</row>
    <row r="108" spans="7:20" s="155" customFormat="1" ht="15" x14ac:dyDescent="0.25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</row>
    <row r="109" spans="7:20" s="155" customFormat="1" ht="15" x14ac:dyDescent="0.25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</row>
    <row r="110" spans="7:20" s="155" customFormat="1" ht="15" x14ac:dyDescent="0.25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</row>
    <row r="111" spans="7:20" s="155" customFormat="1" ht="15" x14ac:dyDescent="0.25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</row>
    <row r="112" spans="7:20" s="155" customFormat="1" ht="15" x14ac:dyDescent="0.25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</row>
    <row r="113" spans="7:20" s="155" customFormat="1" ht="15" x14ac:dyDescent="0.25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</row>
    <row r="114" spans="7:20" s="155" customFormat="1" ht="15" x14ac:dyDescent="0.25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</row>
    <row r="115" spans="7:20" s="155" customFormat="1" ht="15" x14ac:dyDescent="0.25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</row>
    <row r="116" spans="7:20" s="155" customFormat="1" ht="15" x14ac:dyDescent="0.25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</row>
    <row r="117" spans="7:20" s="155" customFormat="1" ht="15" x14ac:dyDescent="0.25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</row>
    <row r="118" spans="7:20" s="155" customFormat="1" ht="15" x14ac:dyDescent="0.25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</row>
    <row r="119" spans="7:20" s="155" customFormat="1" ht="15" x14ac:dyDescent="0.25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</row>
    <row r="120" spans="7:20" s="155" customFormat="1" ht="15" x14ac:dyDescent="0.25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</row>
    <row r="121" spans="7:20" s="155" customFormat="1" ht="15" x14ac:dyDescent="0.25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</row>
    <row r="122" spans="7:20" s="155" customFormat="1" ht="15" x14ac:dyDescent="0.25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</row>
    <row r="123" spans="7:20" s="155" customFormat="1" ht="15" x14ac:dyDescent="0.25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</row>
    <row r="124" spans="7:20" s="155" customFormat="1" ht="15" x14ac:dyDescent="0.25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</row>
    <row r="125" spans="7:20" s="155" customFormat="1" ht="15" x14ac:dyDescent="0.25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</row>
    <row r="126" spans="7:20" s="155" customFormat="1" ht="15" x14ac:dyDescent="0.25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</row>
    <row r="127" spans="7:20" s="155" customFormat="1" ht="15" x14ac:dyDescent="0.25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</row>
    <row r="128" spans="7:20" s="155" customFormat="1" ht="15" x14ac:dyDescent="0.25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</row>
    <row r="129" spans="7:20" s="155" customFormat="1" ht="15" x14ac:dyDescent="0.25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</row>
    <row r="130" spans="7:20" s="155" customFormat="1" ht="15" x14ac:dyDescent="0.25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</row>
    <row r="131" spans="7:20" s="155" customFormat="1" ht="15" x14ac:dyDescent="0.25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</row>
    <row r="132" spans="7:20" s="155" customFormat="1" ht="15" x14ac:dyDescent="0.25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</row>
    <row r="133" spans="7:20" s="155" customFormat="1" ht="15" x14ac:dyDescent="0.25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</row>
    <row r="134" spans="7:20" s="155" customFormat="1" ht="15" x14ac:dyDescent="0.25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</row>
    <row r="135" spans="7:20" s="155" customFormat="1" ht="15" x14ac:dyDescent="0.25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</row>
    <row r="136" spans="7:20" s="155" customFormat="1" ht="15" x14ac:dyDescent="0.25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</row>
    <row r="137" spans="7:20" s="155" customFormat="1" ht="15" x14ac:dyDescent="0.25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</row>
    <row r="138" spans="7:20" s="155" customFormat="1" ht="15" x14ac:dyDescent="0.25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</row>
    <row r="139" spans="7:20" s="155" customFormat="1" ht="15" x14ac:dyDescent="0.25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</row>
    <row r="140" spans="7:20" s="155" customFormat="1" ht="15" x14ac:dyDescent="0.25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</row>
    <row r="141" spans="7:20" s="155" customFormat="1" ht="15" x14ac:dyDescent="0.25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</row>
    <row r="142" spans="7:20" s="155" customFormat="1" ht="15" x14ac:dyDescent="0.25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</row>
    <row r="143" spans="7:20" s="155" customFormat="1" ht="15" x14ac:dyDescent="0.25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</row>
    <row r="144" spans="7:20" s="155" customFormat="1" ht="15" x14ac:dyDescent="0.25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</row>
    <row r="145" spans="7:20" s="155" customFormat="1" ht="15" x14ac:dyDescent="0.25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</row>
    <row r="146" spans="7:20" s="155" customFormat="1" ht="15" x14ac:dyDescent="0.25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</row>
    <row r="147" spans="7:20" s="155" customFormat="1" ht="15" x14ac:dyDescent="0.25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</row>
    <row r="148" spans="7:20" s="155" customFormat="1" ht="15" x14ac:dyDescent="0.25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</row>
    <row r="149" spans="7:20" s="155" customFormat="1" ht="15" x14ac:dyDescent="0.25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</row>
    <row r="150" spans="7:20" s="155" customFormat="1" ht="15" x14ac:dyDescent="0.25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</row>
    <row r="151" spans="7:20" s="155" customFormat="1" ht="15" x14ac:dyDescent="0.25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</row>
    <row r="152" spans="7:20" s="155" customFormat="1" ht="15" x14ac:dyDescent="0.25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</row>
    <row r="153" spans="7:20" s="155" customFormat="1" ht="15" x14ac:dyDescent="0.25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</row>
    <row r="154" spans="7:20" s="155" customFormat="1" ht="15" x14ac:dyDescent="0.25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</row>
    <row r="155" spans="7:20" s="155" customFormat="1" ht="15" x14ac:dyDescent="0.25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</row>
    <row r="156" spans="7:20" s="155" customFormat="1" ht="15" x14ac:dyDescent="0.25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</row>
    <row r="157" spans="7:20" s="155" customFormat="1" ht="15" x14ac:dyDescent="0.25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</row>
    <row r="158" spans="7:20" s="155" customFormat="1" ht="15" x14ac:dyDescent="0.25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</row>
    <row r="159" spans="7:20" s="155" customFormat="1" ht="15" x14ac:dyDescent="0.25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</row>
    <row r="160" spans="7:20" s="155" customFormat="1" ht="15" x14ac:dyDescent="0.25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</row>
    <row r="161" spans="7:20" s="155" customFormat="1" ht="15" x14ac:dyDescent="0.25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</row>
    <row r="162" spans="7:20" s="155" customFormat="1" ht="15" x14ac:dyDescent="0.25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</row>
    <row r="163" spans="7:20" s="155" customFormat="1" ht="15" x14ac:dyDescent="0.25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</row>
    <row r="164" spans="7:20" s="155" customFormat="1" ht="15" x14ac:dyDescent="0.25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</row>
    <row r="165" spans="7:20" s="155" customFormat="1" ht="15" x14ac:dyDescent="0.25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</row>
    <row r="166" spans="7:20" s="155" customFormat="1" ht="15" x14ac:dyDescent="0.25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</row>
    <row r="167" spans="7:20" s="155" customFormat="1" ht="15" x14ac:dyDescent="0.25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</row>
    <row r="168" spans="7:20" s="155" customFormat="1" ht="15" x14ac:dyDescent="0.25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</row>
    <row r="169" spans="7:20" s="155" customFormat="1" ht="15" x14ac:dyDescent="0.25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</row>
    <row r="170" spans="7:20" s="155" customFormat="1" ht="15" x14ac:dyDescent="0.25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</row>
    <row r="171" spans="7:20" s="155" customFormat="1" ht="15" x14ac:dyDescent="0.25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</row>
    <row r="172" spans="7:20" s="155" customFormat="1" ht="15" x14ac:dyDescent="0.25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</row>
    <row r="173" spans="7:20" s="155" customFormat="1" ht="15" x14ac:dyDescent="0.25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</row>
    <row r="174" spans="7:20" s="155" customFormat="1" ht="15" x14ac:dyDescent="0.25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</row>
    <row r="175" spans="7:20" s="155" customFormat="1" ht="15" x14ac:dyDescent="0.25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</row>
    <row r="176" spans="7:20" s="155" customFormat="1" ht="15" x14ac:dyDescent="0.25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</row>
    <row r="177" spans="7:20" s="155" customFormat="1" ht="15" x14ac:dyDescent="0.25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</row>
    <row r="178" spans="7:20" s="155" customFormat="1" ht="15" x14ac:dyDescent="0.25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</row>
    <row r="179" spans="7:20" s="155" customFormat="1" ht="15" x14ac:dyDescent="0.25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</row>
    <row r="180" spans="7:20" s="155" customFormat="1" ht="15" x14ac:dyDescent="0.25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</row>
    <row r="181" spans="7:20" s="155" customFormat="1" ht="15" x14ac:dyDescent="0.25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</row>
    <row r="182" spans="7:20" s="155" customFormat="1" ht="15" x14ac:dyDescent="0.25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</row>
    <row r="183" spans="7:20" s="155" customFormat="1" ht="15" x14ac:dyDescent="0.25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</row>
    <row r="184" spans="7:20" s="155" customFormat="1" ht="15" x14ac:dyDescent="0.25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</row>
    <row r="185" spans="7:20" s="155" customFormat="1" ht="15" x14ac:dyDescent="0.25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</row>
    <row r="186" spans="7:20" s="155" customFormat="1" ht="15" x14ac:dyDescent="0.25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</row>
    <row r="187" spans="7:20" s="155" customFormat="1" ht="15" x14ac:dyDescent="0.25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</row>
    <row r="188" spans="7:20" s="155" customFormat="1" ht="15" x14ac:dyDescent="0.25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</row>
    <row r="189" spans="7:20" s="155" customFormat="1" ht="15" x14ac:dyDescent="0.25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</row>
    <row r="190" spans="7:20" s="155" customFormat="1" ht="15" x14ac:dyDescent="0.25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</row>
    <row r="191" spans="7:20" s="155" customFormat="1" ht="15" x14ac:dyDescent="0.25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</row>
    <row r="192" spans="7:20" s="155" customFormat="1" ht="15" x14ac:dyDescent="0.25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</row>
    <row r="193" spans="7:20" s="155" customFormat="1" ht="15" x14ac:dyDescent="0.25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</row>
    <row r="194" spans="7:20" s="155" customFormat="1" ht="15" x14ac:dyDescent="0.25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</row>
    <row r="195" spans="7:20" s="155" customFormat="1" ht="15" x14ac:dyDescent="0.25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</row>
    <row r="196" spans="7:20" s="155" customFormat="1" ht="15" x14ac:dyDescent="0.25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</row>
    <row r="197" spans="7:20" s="155" customFormat="1" ht="15" x14ac:dyDescent="0.25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</row>
    <row r="198" spans="7:20" s="155" customFormat="1" ht="15" x14ac:dyDescent="0.25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</row>
    <row r="199" spans="7:20" s="155" customFormat="1" ht="15" x14ac:dyDescent="0.25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</row>
    <row r="200" spans="7:20" s="155" customFormat="1" ht="15" x14ac:dyDescent="0.25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</row>
    <row r="201" spans="7:20" s="155" customFormat="1" ht="15" x14ac:dyDescent="0.25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</row>
    <row r="202" spans="7:20" s="155" customFormat="1" ht="15" x14ac:dyDescent="0.25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</row>
    <row r="203" spans="7:20" s="155" customFormat="1" ht="15" x14ac:dyDescent="0.25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</row>
    <row r="204" spans="7:20" s="155" customFormat="1" ht="15" x14ac:dyDescent="0.25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</row>
    <row r="205" spans="7:20" s="155" customFormat="1" ht="15" x14ac:dyDescent="0.25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</row>
    <row r="206" spans="7:20" s="155" customFormat="1" ht="15" x14ac:dyDescent="0.25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</row>
    <row r="207" spans="7:20" s="155" customFormat="1" ht="15" x14ac:dyDescent="0.25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</row>
    <row r="208" spans="7:20" s="155" customFormat="1" ht="15" x14ac:dyDescent="0.25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</row>
    <row r="209" spans="7:20" s="155" customFormat="1" ht="15" x14ac:dyDescent="0.25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</row>
  </sheetData>
  <mergeCells count="4">
    <mergeCell ref="B2:T2"/>
    <mergeCell ref="B4:E4"/>
    <mergeCell ref="G4:I4"/>
    <mergeCell ref="J4:R4"/>
  </mergeCells>
  <conditionalFormatting sqref="J7:R7">
    <cfRule type="expression" dxfId="0" priority="1">
      <formula>"&lt;0"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Budget 2017-18</vt:lpstr>
      <vt:lpstr>Helmingham Tax Base &amp; Grant</vt:lpstr>
      <vt:lpstr>Accounts 2009-10</vt:lpstr>
      <vt:lpstr>Accounts 2010-11</vt:lpstr>
      <vt:lpstr>Accounts 2011-12</vt:lpstr>
      <vt:lpstr>Accounts 2012-13</vt:lpstr>
      <vt:lpstr>Accounts 2013-14</vt:lpstr>
      <vt:lpstr>Accounts 2014-15</vt:lpstr>
      <vt:lpstr>Accounts 2015-16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DavidP</dc:creator>
  <cp:lastModifiedBy>Microsoft Office User</cp:lastModifiedBy>
  <cp:lastPrinted>2017-11-06T11:46:57Z</cp:lastPrinted>
  <dcterms:created xsi:type="dcterms:W3CDTF">2011-12-01T17:18:43Z</dcterms:created>
  <dcterms:modified xsi:type="dcterms:W3CDTF">2018-05-13T06:53:12Z</dcterms:modified>
</cp:coreProperties>
</file>